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ecko2740481\Desktop\ulohy 2024\februar\plosiny final\"/>
    </mc:Choice>
  </mc:AlternateContent>
  <bookViews>
    <workbookView xWindow="0" yWindow="20" windowWidth="19200" windowHeight="6600" activeTab="1"/>
  </bookViews>
  <sheets>
    <sheet name="servisné náklady" sheetId="14" r:id="rId1"/>
    <sheet name="finančná analýza" sheetId="12" r:id="rId2"/>
    <sheet name="servis podľa veku" sheetId="11" r:id="rId3"/>
    <sheet name="servis podľa rokov" sheetId="10" r:id="rId4"/>
    <sheet name="Tabulka 7" sheetId="13" r:id="rId5"/>
    <sheet name="Tabulka 4 - bodovaci system" sheetId="8" r:id="rId6"/>
    <sheet name="Tabulka 3" sheetId="7" r:id="rId7"/>
    <sheet name="Tabulka 2" sheetId="5" r:id="rId8"/>
    <sheet name="pivot_draft" sheetId="4" r:id="rId9"/>
    <sheet name="data" sheetId="1" r:id="rId10"/>
  </sheets>
  <externalReferences>
    <externalReference r:id="rId11"/>
  </externalReferences>
  <definedNames>
    <definedName name="_xlnm._FilterDatabase" localSheetId="9" hidden="1">data!$A$1:$Q$48</definedName>
    <definedName name="_xlnm._FilterDatabase" localSheetId="5" hidden="1">'Tabulka 4 - bodovaci system'!$B$2:$AE$49</definedName>
  </definedNames>
  <calcPr calcId="162913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B38" i="12" l="1"/>
  <c r="B37" i="12"/>
  <c r="B10" i="12"/>
  <c r="W8" i="8" l="1"/>
  <c r="L8" i="8" s="1"/>
  <c r="E8" i="8"/>
  <c r="L6" i="8"/>
  <c r="M7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3" i="8"/>
  <c r="G50" i="8" l="1"/>
  <c r="C18" i="12"/>
  <c r="C84" i="11" l="1"/>
  <c r="C85" i="11" s="1"/>
  <c r="C86" i="11" s="1"/>
  <c r="D84" i="11"/>
  <c r="D85" i="11" s="1"/>
  <c r="D86" i="11" s="1"/>
  <c r="E84" i="11"/>
  <c r="E85" i="11" s="1"/>
  <c r="E86" i="11" s="1"/>
  <c r="F84" i="11"/>
  <c r="F85" i="11" s="1"/>
  <c r="F86" i="11" s="1"/>
  <c r="G84" i="11"/>
  <c r="G85" i="11" s="1"/>
  <c r="G86" i="11" s="1"/>
  <c r="H84" i="11"/>
  <c r="H85" i="11" s="1"/>
  <c r="H86" i="11" s="1"/>
  <c r="I84" i="11"/>
  <c r="I85" i="11" s="1"/>
  <c r="I86" i="11" s="1"/>
  <c r="J84" i="11"/>
  <c r="J85" i="11" s="1"/>
  <c r="J86" i="11" s="1"/>
  <c r="K84" i="11"/>
  <c r="K85" i="11" s="1"/>
  <c r="K86" i="11" s="1"/>
  <c r="L84" i="11"/>
  <c r="L85" i="11" s="1"/>
  <c r="L86" i="11" s="1"/>
  <c r="M84" i="11"/>
  <c r="N84" i="11"/>
  <c r="O84" i="11"/>
  <c r="P84" i="11"/>
  <c r="Q84" i="11"/>
  <c r="R84" i="11"/>
  <c r="B84" i="11"/>
  <c r="B85" i="11" s="1"/>
  <c r="C66" i="11"/>
  <c r="D66" i="11"/>
  <c r="E66" i="11"/>
  <c r="F66" i="11"/>
  <c r="G66" i="11"/>
  <c r="H66" i="11"/>
  <c r="I66" i="11"/>
  <c r="J66" i="11"/>
  <c r="K66" i="11"/>
  <c r="L66" i="11"/>
  <c r="B66" i="11"/>
  <c r="B60" i="11"/>
  <c r="C60" i="11"/>
  <c r="D60" i="11"/>
  <c r="E60" i="11"/>
  <c r="F60" i="11"/>
  <c r="G60" i="11"/>
  <c r="H60" i="11"/>
  <c r="I60" i="11"/>
  <c r="J60" i="11"/>
  <c r="K60" i="11"/>
  <c r="L60" i="11"/>
  <c r="C48" i="11"/>
  <c r="D48" i="11"/>
  <c r="E48" i="11"/>
  <c r="F48" i="11"/>
  <c r="G48" i="11"/>
  <c r="H48" i="11"/>
  <c r="I48" i="11"/>
  <c r="J48" i="11"/>
  <c r="K48" i="11"/>
  <c r="L48" i="11"/>
  <c r="M48" i="11"/>
  <c r="B48" i="11"/>
  <c r="T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C58" i="10"/>
  <c r="B58" i="10"/>
  <c r="U64" i="10"/>
  <c r="S64" i="10"/>
  <c r="J22" i="12" l="1"/>
  <c r="K22" i="12"/>
  <c r="I22" i="12"/>
  <c r="H22" i="12"/>
  <c r="M85" i="11"/>
  <c r="M86" i="11" s="1"/>
  <c r="B86" i="11"/>
  <c r="F22" i="12" s="1"/>
  <c r="G22" i="12"/>
  <c r="M22" i="12"/>
  <c r="L22" i="12"/>
  <c r="N22" i="12"/>
  <c r="K50" i="8"/>
  <c r="N85" i="11" l="1"/>
  <c r="N86" i="11" s="1"/>
  <c r="O22" i="12"/>
  <c r="B9" i="12"/>
  <c r="B8" i="12"/>
  <c r="P22" i="12" l="1"/>
  <c r="O85" i="11"/>
  <c r="O86" i="11" s="1"/>
  <c r="Q22" i="12" s="1"/>
  <c r="M9" i="1"/>
  <c r="C16" i="7"/>
  <c r="G6" i="7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B35" i="12"/>
  <c r="E23" i="5"/>
  <c r="E22" i="5"/>
  <c r="E21" i="5"/>
  <c r="E20" i="5"/>
  <c r="E19" i="5"/>
  <c r="P85" i="11" l="1"/>
  <c r="P86" i="11" s="1"/>
  <c r="R22" i="12" s="1"/>
  <c r="Q85" i="11" l="1"/>
  <c r="Q86" i="11" s="1"/>
  <c r="C26" i="11"/>
  <c r="C27" i="11" s="1"/>
  <c r="D26" i="11"/>
  <c r="D27" i="11" s="1"/>
  <c r="E26" i="11"/>
  <c r="E27" i="11" s="1"/>
  <c r="F26" i="11"/>
  <c r="F27" i="11" s="1"/>
  <c r="G26" i="11"/>
  <c r="G27" i="11" s="1"/>
  <c r="H26" i="11"/>
  <c r="H27" i="11" s="1"/>
  <c r="I26" i="11"/>
  <c r="I27" i="11" s="1"/>
  <c r="J26" i="11"/>
  <c r="J27" i="11" s="1"/>
  <c r="K26" i="11"/>
  <c r="K27" i="11" s="1"/>
  <c r="L26" i="11"/>
  <c r="L27" i="11" s="1"/>
  <c r="B26" i="11"/>
  <c r="B27" i="11" s="1"/>
  <c r="C16" i="11"/>
  <c r="C17" i="11" s="1"/>
  <c r="D16" i="11"/>
  <c r="D17" i="11" s="1"/>
  <c r="E16" i="11"/>
  <c r="E17" i="11" s="1"/>
  <c r="F16" i="11"/>
  <c r="F17" i="11" s="1"/>
  <c r="G16" i="11"/>
  <c r="G17" i="11" s="1"/>
  <c r="H16" i="11"/>
  <c r="H17" i="11" s="1"/>
  <c r="I16" i="11"/>
  <c r="I17" i="11" s="1"/>
  <c r="J16" i="11"/>
  <c r="J17" i="11" s="1"/>
  <c r="K16" i="11"/>
  <c r="K17" i="11" s="1"/>
  <c r="L16" i="11"/>
  <c r="L17" i="11" s="1"/>
  <c r="M16" i="11"/>
  <c r="M17" i="11" s="1"/>
  <c r="N16" i="11"/>
  <c r="N17" i="11" s="1"/>
  <c r="B16" i="11"/>
  <c r="B17" i="11" s="1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B50" i="10"/>
  <c r="B104" i="11"/>
  <c r="R85" i="11" l="1"/>
  <c r="R86" i="11" s="1"/>
  <c r="C56" i="10" l="1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B56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T64" i="10"/>
  <c r="B64" i="10"/>
  <c r="F18" i="12" l="1"/>
  <c r="N23" i="12"/>
  <c r="J23" i="12"/>
  <c r="F23" i="12"/>
  <c r="J41" i="8"/>
  <c r="J36" i="8"/>
  <c r="J45" i="8"/>
  <c r="J48" i="8"/>
  <c r="J44" i="8"/>
  <c r="J37" i="8"/>
  <c r="J38" i="8"/>
  <c r="J46" i="8"/>
  <c r="J43" i="8"/>
  <c r="J35" i="8"/>
  <c r="J39" i="8"/>
  <c r="J40" i="8"/>
  <c r="J42" i="8"/>
  <c r="J34" i="8"/>
  <c r="J47" i="8"/>
  <c r="J32" i="8"/>
  <c r="J33" i="8"/>
  <c r="J29" i="8"/>
  <c r="J26" i="8"/>
  <c r="J22" i="8"/>
  <c r="J28" i="8"/>
  <c r="J30" i="8"/>
  <c r="J15" i="8"/>
  <c r="J20" i="8"/>
  <c r="J24" i="8"/>
  <c r="J21" i="8"/>
  <c r="J27" i="8"/>
  <c r="J19" i="8"/>
  <c r="J25" i="8"/>
  <c r="J11" i="8"/>
  <c r="J8" i="8"/>
  <c r="J14" i="8"/>
  <c r="J12" i="8"/>
  <c r="J16" i="8"/>
  <c r="J7" i="8"/>
  <c r="J9" i="8"/>
  <c r="J31" i="8"/>
  <c r="J23" i="8"/>
  <c r="J17" i="8"/>
  <c r="J13" i="8"/>
  <c r="J18" i="8"/>
  <c r="J10" i="8"/>
  <c r="J5" i="8"/>
  <c r="J6" i="8"/>
  <c r="J4" i="8"/>
  <c r="J3" i="8"/>
  <c r="J49" i="8"/>
  <c r="H41" i="8"/>
  <c r="I41" i="8" s="1"/>
  <c r="H36" i="8"/>
  <c r="H45" i="8"/>
  <c r="I45" i="8" s="1"/>
  <c r="H48" i="8"/>
  <c r="I48" i="8" s="1"/>
  <c r="H44" i="8"/>
  <c r="I44" i="8" s="1"/>
  <c r="H37" i="8"/>
  <c r="I37" i="8" s="1"/>
  <c r="H38" i="8"/>
  <c r="I38" i="8" s="1"/>
  <c r="H46" i="8"/>
  <c r="I46" i="8" s="1"/>
  <c r="H43" i="8"/>
  <c r="I43" i="8" s="1"/>
  <c r="H35" i="8"/>
  <c r="I35" i="8" s="1"/>
  <c r="H39" i="8"/>
  <c r="I39" i="8" s="1"/>
  <c r="H40" i="8"/>
  <c r="I40" i="8" s="1"/>
  <c r="H42" i="8"/>
  <c r="I42" i="8" s="1"/>
  <c r="H34" i="8"/>
  <c r="I34" i="8" s="1"/>
  <c r="H47" i="8"/>
  <c r="I47" i="8" s="1"/>
  <c r="H32" i="8"/>
  <c r="I32" i="8" s="1"/>
  <c r="H33" i="8"/>
  <c r="I33" i="8" s="1"/>
  <c r="H29" i="8"/>
  <c r="I29" i="8" s="1"/>
  <c r="H26" i="8"/>
  <c r="I26" i="8" s="1"/>
  <c r="H22" i="8"/>
  <c r="I22" i="8" s="1"/>
  <c r="H28" i="8"/>
  <c r="I28" i="8" s="1"/>
  <c r="H30" i="8"/>
  <c r="I30" i="8" s="1"/>
  <c r="H15" i="8"/>
  <c r="I15" i="8" s="1"/>
  <c r="H20" i="8"/>
  <c r="I20" i="8" s="1"/>
  <c r="H24" i="8"/>
  <c r="I24" i="8" s="1"/>
  <c r="H21" i="8"/>
  <c r="I21" i="8" s="1"/>
  <c r="H27" i="8"/>
  <c r="I27" i="8" s="1"/>
  <c r="H19" i="8"/>
  <c r="I19" i="8" s="1"/>
  <c r="H25" i="8"/>
  <c r="I25" i="8" s="1"/>
  <c r="H11" i="8"/>
  <c r="I11" i="8" s="1"/>
  <c r="H8" i="8"/>
  <c r="I8" i="8" s="1"/>
  <c r="H14" i="8"/>
  <c r="I14" i="8" s="1"/>
  <c r="H12" i="8"/>
  <c r="I12" i="8" s="1"/>
  <c r="H16" i="8"/>
  <c r="I16" i="8" s="1"/>
  <c r="H7" i="8"/>
  <c r="I7" i="8" s="1"/>
  <c r="H9" i="8"/>
  <c r="I9" i="8" s="1"/>
  <c r="H31" i="8"/>
  <c r="I31" i="8" s="1"/>
  <c r="H23" i="8"/>
  <c r="I23" i="8" s="1"/>
  <c r="H17" i="8"/>
  <c r="I17" i="8" s="1"/>
  <c r="H13" i="8"/>
  <c r="I13" i="8" s="1"/>
  <c r="H18" i="8"/>
  <c r="I18" i="8" s="1"/>
  <c r="H10" i="8"/>
  <c r="I10" i="8" s="1"/>
  <c r="H5" i="8"/>
  <c r="I5" i="8" s="1"/>
  <c r="H6" i="8"/>
  <c r="I6" i="8" s="1"/>
  <c r="H4" i="8"/>
  <c r="I4" i="8" s="1"/>
  <c r="H3" i="8"/>
  <c r="I3" i="8" s="1"/>
  <c r="H49" i="8"/>
  <c r="I49" i="8" s="1"/>
  <c r="J50" i="8" l="1"/>
  <c r="F26" i="12"/>
  <c r="F34" i="12" s="1"/>
  <c r="F37" i="12" s="1"/>
  <c r="M23" i="12"/>
  <c r="R18" i="12"/>
  <c r="H18" i="12"/>
  <c r="L18" i="12"/>
  <c r="D18" i="12"/>
  <c r="D26" i="12" s="1"/>
  <c r="D34" i="12" s="1"/>
  <c r="D37" i="12" s="1"/>
  <c r="G18" i="12"/>
  <c r="O18" i="12"/>
  <c r="E21" i="12"/>
  <c r="E23" i="12" s="1"/>
  <c r="D21" i="12"/>
  <c r="D23" i="12" s="1"/>
  <c r="M18" i="12"/>
  <c r="L23" i="12"/>
  <c r="E18" i="12"/>
  <c r="J18" i="12"/>
  <c r="J26" i="12" s="1"/>
  <c r="J34" i="12" s="1"/>
  <c r="J37" i="12" s="1"/>
  <c r="N18" i="12"/>
  <c r="N26" i="12" s="1"/>
  <c r="N34" i="12" s="1"/>
  <c r="N37" i="12" s="1"/>
  <c r="K18" i="12"/>
  <c r="G23" i="12"/>
  <c r="I23" i="12"/>
  <c r="K23" i="12"/>
  <c r="I18" i="12"/>
  <c r="P18" i="12"/>
  <c r="Q18" i="12"/>
  <c r="C21" i="12"/>
  <c r="C23" i="12" s="1"/>
  <c r="C26" i="12" s="1"/>
  <c r="C34" i="12" s="1"/>
  <c r="O23" i="12"/>
  <c r="H23" i="12"/>
  <c r="I50" i="8"/>
  <c r="AC3" i="8"/>
  <c r="AD3" i="8" s="1"/>
  <c r="W3" i="8"/>
  <c r="L3" i="8" s="1"/>
  <c r="M3" i="8" s="1"/>
  <c r="AE3" i="8" s="1"/>
  <c r="AC4" i="8"/>
  <c r="AD4" i="8" s="1"/>
  <c r="W4" i="8"/>
  <c r="L4" i="8" s="1"/>
  <c r="M4" i="8" s="1"/>
  <c r="AE4" i="8" s="1"/>
  <c r="AC6" i="8"/>
  <c r="AD6" i="8" s="1"/>
  <c r="W6" i="8"/>
  <c r="M6" i="8" s="1"/>
  <c r="AE6" i="8" s="1"/>
  <c r="AC5" i="8"/>
  <c r="AD5" i="8" s="1"/>
  <c r="W5" i="8"/>
  <c r="L5" i="8" s="1"/>
  <c r="M5" i="8" s="1"/>
  <c r="AE5" i="8" s="1"/>
  <c r="AC10" i="8"/>
  <c r="AD10" i="8" s="1"/>
  <c r="W10" i="8"/>
  <c r="L10" i="8" s="1"/>
  <c r="M10" i="8" s="1"/>
  <c r="AE10" i="8" s="1"/>
  <c r="AC18" i="8"/>
  <c r="AD18" i="8" s="1"/>
  <c r="W18" i="8"/>
  <c r="L18" i="8" s="1"/>
  <c r="M18" i="8" s="1"/>
  <c r="AE18" i="8" s="1"/>
  <c r="AC13" i="8"/>
  <c r="AD13" i="8" s="1"/>
  <c r="W13" i="8"/>
  <c r="L13" i="8" s="1"/>
  <c r="M13" i="8" s="1"/>
  <c r="AE13" i="8" s="1"/>
  <c r="AC17" i="8"/>
  <c r="AD17" i="8" s="1"/>
  <c r="W17" i="8"/>
  <c r="L17" i="8" s="1"/>
  <c r="M17" i="8" s="1"/>
  <c r="AE17" i="8" s="1"/>
  <c r="AC23" i="8"/>
  <c r="AD23" i="8" s="1"/>
  <c r="W23" i="8"/>
  <c r="L23" i="8" s="1"/>
  <c r="M23" i="8" s="1"/>
  <c r="AE23" i="8" s="1"/>
  <c r="AC31" i="8"/>
  <c r="AD31" i="8" s="1"/>
  <c r="W31" i="8"/>
  <c r="L31" i="8" s="1"/>
  <c r="M31" i="8" s="1"/>
  <c r="AE31" i="8" s="1"/>
  <c r="AC9" i="8"/>
  <c r="AD9" i="8" s="1"/>
  <c r="W9" i="8"/>
  <c r="L9" i="8" s="1"/>
  <c r="M9" i="8" s="1"/>
  <c r="AE9" i="8" s="1"/>
  <c r="AC7" i="8"/>
  <c r="AD7" i="8" s="1"/>
  <c r="W7" i="8"/>
  <c r="L7" i="8" s="1"/>
  <c r="AE7" i="8" s="1"/>
  <c r="AC16" i="8"/>
  <c r="AD16" i="8" s="1"/>
  <c r="W16" i="8"/>
  <c r="L16" i="8" s="1"/>
  <c r="M16" i="8" s="1"/>
  <c r="AE16" i="8" s="1"/>
  <c r="AC12" i="8"/>
  <c r="AD12" i="8" s="1"/>
  <c r="W12" i="8"/>
  <c r="L12" i="8" s="1"/>
  <c r="M12" i="8" s="1"/>
  <c r="AE12" i="8" s="1"/>
  <c r="AC14" i="8"/>
  <c r="AD14" i="8" s="1"/>
  <c r="W14" i="8"/>
  <c r="L14" i="8" s="1"/>
  <c r="M14" i="8" s="1"/>
  <c r="AE14" i="8" s="1"/>
  <c r="AC8" i="8"/>
  <c r="AD8" i="8" s="1"/>
  <c r="AC11" i="8"/>
  <c r="AD11" i="8" s="1"/>
  <c r="W11" i="8"/>
  <c r="L11" i="8" s="1"/>
  <c r="M11" i="8" s="1"/>
  <c r="AE11" i="8" s="1"/>
  <c r="AC25" i="8"/>
  <c r="AD25" i="8" s="1"/>
  <c r="W25" i="8"/>
  <c r="L25" i="8" s="1"/>
  <c r="M25" i="8" s="1"/>
  <c r="AE25" i="8" s="1"/>
  <c r="AC19" i="8"/>
  <c r="AD19" i="8" s="1"/>
  <c r="W19" i="8"/>
  <c r="L19" i="8" s="1"/>
  <c r="M19" i="8" s="1"/>
  <c r="AE19" i="8" s="1"/>
  <c r="AC27" i="8"/>
  <c r="AD27" i="8" s="1"/>
  <c r="W27" i="8"/>
  <c r="L27" i="8" s="1"/>
  <c r="M27" i="8" s="1"/>
  <c r="AE27" i="8" s="1"/>
  <c r="AC21" i="8"/>
  <c r="AD21" i="8" s="1"/>
  <c r="W21" i="8"/>
  <c r="L21" i="8" s="1"/>
  <c r="M21" i="8" s="1"/>
  <c r="AE21" i="8" s="1"/>
  <c r="AC24" i="8"/>
  <c r="AD24" i="8" s="1"/>
  <c r="W24" i="8"/>
  <c r="L24" i="8" s="1"/>
  <c r="M24" i="8" s="1"/>
  <c r="AE24" i="8" s="1"/>
  <c r="AC20" i="8"/>
  <c r="AD20" i="8" s="1"/>
  <c r="W20" i="8"/>
  <c r="L20" i="8" s="1"/>
  <c r="M20" i="8" s="1"/>
  <c r="AE20" i="8" s="1"/>
  <c r="AC15" i="8"/>
  <c r="AD15" i="8" s="1"/>
  <c r="W15" i="8"/>
  <c r="L15" i="8" s="1"/>
  <c r="M15" i="8" s="1"/>
  <c r="AE15" i="8" s="1"/>
  <c r="AC30" i="8"/>
  <c r="AD30" i="8" s="1"/>
  <c r="W30" i="8"/>
  <c r="L30" i="8" s="1"/>
  <c r="M30" i="8" s="1"/>
  <c r="AE30" i="8" s="1"/>
  <c r="AC28" i="8"/>
  <c r="AD28" i="8" s="1"/>
  <c r="W28" i="8"/>
  <c r="L28" i="8" s="1"/>
  <c r="M28" i="8" s="1"/>
  <c r="AE28" i="8" s="1"/>
  <c r="AC22" i="8"/>
  <c r="AD22" i="8" s="1"/>
  <c r="W22" i="8"/>
  <c r="L22" i="8" s="1"/>
  <c r="M22" i="8" s="1"/>
  <c r="AE22" i="8" s="1"/>
  <c r="AC26" i="8"/>
  <c r="AD26" i="8" s="1"/>
  <c r="W26" i="8"/>
  <c r="L26" i="8" s="1"/>
  <c r="M26" i="8" s="1"/>
  <c r="AE26" i="8" s="1"/>
  <c r="AC29" i="8"/>
  <c r="AD29" i="8" s="1"/>
  <c r="W29" i="8"/>
  <c r="L29" i="8" s="1"/>
  <c r="M29" i="8" s="1"/>
  <c r="AE29" i="8" s="1"/>
  <c r="AC33" i="8"/>
  <c r="AD33" i="8" s="1"/>
  <c r="W33" i="8"/>
  <c r="L33" i="8" s="1"/>
  <c r="M33" i="8" s="1"/>
  <c r="AE33" i="8" s="1"/>
  <c r="AC32" i="8"/>
  <c r="AD32" i="8" s="1"/>
  <c r="W32" i="8"/>
  <c r="L32" i="8" s="1"/>
  <c r="M32" i="8" s="1"/>
  <c r="AE32" i="8" s="1"/>
  <c r="AC47" i="8"/>
  <c r="AD47" i="8" s="1"/>
  <c r="W47" i="8"/>
  <c r="L47" i="8" s="1"/>
  <c r="M47" i="8" s="1"/>
  <c r="AE47" i="8" s="1"/>
  <c r="AC34" i="8"/>
  <c r="AD34" i="8" s="1"/>
  <c r="W34" i="8"/>
  <c r="L34" i="8" s="1"/>
  <c r="M34" i="8" s="1"/>
  <c r="AE34" i="8" s="1"/>
  <c r="AC42" i="8"/>
  <c r="AD42" i="8" s="1"/>
  <c r="W42" i="8"/>
  <c r="L42" i="8" s="1"/>
  <c r="M42" i="8" s="1"/>
  <c r="AE42" i="8" s="1"/>
  <c r="AC40" i="8"/>
  <c r="AD40" i="8" s="1"/>
  <c r="W40" i="8"/>
  <c r="L40" i="8" s="1"/>
  <c r="M40" i="8" s="1"/>
  <c r="AE40" i="8" s="1"/>
  <c r="AC39" i="8"/>
  <c r="AD39" i="8" s="1"/>
  <c r="W39" i="8"/>
  <c r="L39" i="8" s="1"/>
  <c r="M39" i="8" s="1"/>
  <c r="AE39" i="8" s="1"/>
  <c r="AC35" i="8"/>
  <c r="AD35" i="8" s="1"/>
  <c r="W35" i="8"/>
  <c r="L35" i="8" s="1"/>
  <c r="M35" i="8" s="1"/>
  <c r="AE35" i="8" s="1"/>
  <c r="AC43" i="8"/>
  <c r="AD43" i="8" s="1"/>
  <c r="W43" i="8"/>
  <c r="L43" i="8" s="1"/>
  <c r="M43" i="8" s="1"/>
  <c r="AE43" i="8" s="1"/>
  <c r="AC46" i="8"/>
  <c r="AD46" i="8" s="1"/>
  <c r="W46" i="8"/>
  <c r="L46" i="8" s="1"/>
  <c r="M46" i="8" s="1"/>
  <c r="AE46" i="8" s="1"/>
  <c r="AC38" i="8"/>
  <c r="AD38" i="8" s="1"/>
  <c r="W38" i="8"/>
  <c r="L38" i="8" s="1"/>
  <c r="M38" i="8" s="1"/>
  <c r="AE38" i="8" s="1"/>
  <c r="AC37" i="8"/>
  <c r="AD37" i="8" s="1"/>
  <c r="W37" i="8"/>
  <c r="L37" i="8" s="1"/>
  <c r="M37" i="8" s="1"/>
  <c r="AE37" i="8" s="1"/>
  <c r="AC44" i="8"/>
  <c r="AD44" i="8" s="1"/>
  <c r="W44" i="8"/>
  <c r="L44" i="8" s="1"/>
  <c r="M44" i="8" s="1"/>
  <c r="AE44" i="8" s="1"/>
  <c r="AC48" i="8"/>
  <c r="AD48" i="8" s="1"/>
  <c r="W48" i="8"/>
  <c r="L48" i="8" s="1"/>
  <c r="M48" i="8" s="1"/>
  <c r="AE48" i="8" s="1"/>
  <c r="AC45" i="8"/>
  <c r="AD45" i="8" s="1"/>
  <c r="W45" i="8"/>
  <c r="L45" i="8" s="1"/>
  <c r="M45" i="8" s="1"/>
  <c r="AE45" i="8" s="1"/>
  <c r="AC36" i="8"/>
  <c r="AD36" i="8" s="1"/>
  <c r="W36" i="8"/>
  <c r="L36" i="8" s="1"/>
  <c r="M36" i="8" s="1"/>
  <c r="AE36" i="8" s="1"/>
  <c r="AC41" i="8"/>
  <c r="AD41" i="8" s="1"/>
  <c r="W41" i="8"/>
  <c r="L41" i="8" s="1"/>
  <c r="M41" i="8" s="1"/>
  <c r="AE41" i="8" s="1"/>
  <c r="AC49" i="8"/>
  <c r="AD49" i="8" s="1"/>
  <c r="W49" i="8"/>
  <c r="L49" i="8" s="1"/>
  <c r="M49" i="8" s="1"/>
  <c r="AE49" i="8" s="1"/>
  <c r="M8" i="8" l="1"/>
  <c r="AE8" i="8" s="1"/>
  <c r="G26" i="12"/>
  <c r="G34" i="12" s="1"/>
  <c r="G37" i="12" s="1"/>
  <c r="I26" i="12"/>
  <c r="I34" i="12" s="1"/>
  <c r="I37" i="12" s="1"/>
  <c r="M26" i="12"/>
  <c r="M34" i="12" s="1"/>
  <c r="M37" i="12" s="1"/>
  <c r="K26" i="12"/>
  <c r="K34" i="12" s="1"/>
  <c r="K37" i="12" s="1"/>
  <c r="B18" i="12"/>
  <c r="H26" i="12"/>
  <c r="H34" i="12" s="1"/>
  <c r="H37" i="12" s="1"/>
  <c r="O26" i="12"/>
  <c r="O34" i="12" s="1"/>
  <c r="O37" i="12" s="1"/>
  <c r="E26" i="12"/>
  <c r="E34" i="12" s="1"/>
  <c r="E37" i="12" s="1"/>
  <c r="L26" i="12"/>
  <c r="L34" i="12" s="1"/>
  <c r="L37" i="12" s="1"/>
  <c r="B21" i="12"/>
  <c r="P23" i="12"/>
  <c r="P26" i="12" s="1"/>
  <c r="P34" i="12" s="1"/>
  <c r="P37" i="12" s="1"/>
  <c r="Q23" i="12"/>
  <c r="Q26" i="12" s="1"/>
  <c r="Q34" i="12" s="1"/>
  <c r="Q37" i="12" s="1"/>
  <c r="G4" i="7"/>
  <c r="G3" i="7"/>
  <c r="G2" i="7"/>
  <c r="G5" i="7"/>
  <c r="AE50" i="8" l="1"/>
  <c r="G51" i="8" s="1"/>
  <c r="M50" i="8"/>
  <c r="R23" i="12"/>
  <c r="R26" i="12" s="1"/>
  <c r="R34" i="12" s="1"/>
  <c r="B22" i="12"/>
  <c r="B23" i="12" s="1"/>
  <c r="B26" i="12"/>
  <c r="B34" i="12"/>
  <c r="H20" i="5"/>
  <c r="H21" i="5"/>
  <c r="H22" i="5"/>
  <c r="H23" i="5"/>
  <c r="H19" i="5"/>
  <c r="M5" i="1"/>
  <c r="M4" i="1"/>
  <c r="M3" i="1"/>
  <c r="M2" i="1"/>
  <c r="M18" i="1"/>
  <c r="M17" i="1"/>
  <c r="M16" i="1"/>
  <c r="M15" i="1"/>
  <c r="M14" i="1"/>
  <c r="M13" i="1"/>
  <c r="M12" i="1"/>
  <c r="M11" i="1"/>
  <c r="M10" i="1"/>
  <c r="M7" i="1"/>
  <c r="M6" i="1"/>
  <c r="M8" i="1"/>
  <c r="M30" i="1"/>
  <c r="M29" i="1"/>
  <c r="M19" i="1"/>
  <c r="M28" i="1"/>
  <c r="M27" i="1"/>
  <c r="M26" i="1"/>
  <c r="M25" i="1"/>
  <c r="M24" i="1"/>
  <c r="M23" i="1"/>
  <c r="M22" i="1"/>
  <c r="M21" i="1"/>
  <c r="M32" i="1"/>
  <c r="M31" i="1"/>
  <c r="M20" i="1"/>
  <c r="M48" i="1"/>
  <c r="M37" i="1"/>
  <c r="M47" i="1"/>
  <c r="M46" i="1"/>
  <c r="M45" i="1"/>
  <c r="M33" i="1"/>
  <c r="M44" i="1"/>
  <c r="M43" i="1"/>
  <c r="M42" i="1"/>
  <c r="M36" i="1"/>
  <c r="M41" i="1"/>
  <c r="M39" i="1"/>
  <c r="M40" i="1"/>
  <c r="M34" i="1"/>
  <c r="M35" i="1"/>
  <c r="M38" i="1"/>
  <c r="M51" i="8" l="1"/>
  <c r="K51" i="8"/>
  <c r="J51" i="8"/>
  <c r="I51" i="8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2" i="1"/>
  <c r="T2" i="1" s="1"/>
  <c r="C33" i="12" l="1"/>
  <c r="B33" i="12"/>
  <c r="B105" i="11"/>
  <c r="R13" i="12" s="1"/>
  <c r="R36" i="12" s="1"/>
  <c r="B36" i="12" l="1"/>
  <c r="B39" i="12" s="1"/>
  <c r="R37" i="12"/>
  <c r="B40" i="12" s="1"/>
</calcChain>
</file>

<file path=xl/sharedStrings.xml><?xml version="1.0" encoding="utf-8"?>
<sst xmlns="http://schemas.openxmlformats.org/spreadsheetml/2006/main" count="1314" uniqueCount="310">
  <si>
    <t>Počet</t>
  </si>
  <si>
    <t>REČ  (SAP)</t>
  </si>
  <si>
    <t>Označenie vozidla  (SAP)</t>
  </si>
  <si>
    <t>Rok výroby</t>
  </si>
  <si>
    <t>Závod</t>
  </si>
  <si>
    <t>Dopravný okruh</t>
  </si>
  <si>
    <t>Dislokácia</t>
  </si>
  <si>
    <t>Typ</t>
  </si>
  <si>
    <t>TATRA T 148 P SUB PVP 27 H</t>
  </si>
  <si>
    <t>KR HaZZ KE</t>
  </si>
  <si>
    <t>OR HaZZ TV</t>
  </si>
  <si>
    <t>HS Kráľovský Chlmec</t>
  </si>
  <si>
    <t>AP 27 SUB T 148</t>
  </si>
  <si>
    <t>TATRA T 815 PP-27-2 SUB H</t>
  </si>
  <si>
    <t>OR HaZZ SN</t>
  </si>
  <si>
    <t>HS Krompachy</t>
  </si>
  <si>
    <t>AP 27 SUB T 815</t>
  </si>
  <si>
    <t>OR HaZZ MI</t>
  </si>
  <si>
    <t>HS Sobrance</t>
  </si>
  <si>
    <t>TATRA BRONTO-SKYLIFT 50-2T1 T 815 PJ 36 208 8X8.1/</t>
  </si>
  <si>
    <t>Zariadenie zboru</t>
  </si>
  <si>
    <t>VC HaZZ Lešť</t>
  </si>
  <si>
    <t>Výcvikové centrum HaZZ Lešť + HS Pliešovce</t>
  </si>
  <si>
    <t xml:space="preserve">AP 50-2T1 Bronto Skylift T 815 </t>
  </si>
  <si>
    <t>KR HaZZ NR</t>
  </si>
  <si>
    <t>OR HaZZ NR</t>
  </si>
  <si>
    <t>HS Vráble</t>
  </si>
  <si>
    <t>TATRA T 815 SUB PP27-2/./.</t>
  </si>
  <si>
    <t>KR HaZZ BB</t>
  </si>
  <si>
    <t>OR HaZZ BR</t>
  </si>
  <si>
    <t>HS Brezno</t>
  </si>
  <si>
    <t>OR HaZZ ZH</t>
  </si>
  <si>
    <t>HS Banská Štiavnica</t>
  </si>
  <si>
    <t>OR HaZZ RV</t>
  </si>
  <si>
    <t>HS Rožňava</t>
  </si>
  <si>
    <t>KR HaZZ TT</t>
  </si>
  <si>
    <t>OR HaZZ SI</t>
  </si>
  <si>
    <t>HS Holíč</t>
  </si>
  <si>
    <t>OR HaZZ GA</t>
  </si>
  <si>
    <t xml:space="preserve">HS Galanta </t>
  </si>
  <si>
    <t>TATRA T 815BRONTOSKYLIFT H</t>
  </si>
  <si>
    <t>OR HaZZ SE</t>
  </si>
  <si>
    <t xml:space="preserve">HS Senica   </t>
  </si>
  <si>
    <t xml:space="preserve">AP 40-2T1 Bronto Skylift T 815 </t>
  </si>
  <si>
    <t>KR HaZZ ZA</t>
  </si>
  <si>
    <t>OR HaZZ CA</t>
  </si>
  <si>
    <t>HS Turzovka</t>
  </si>
  <si>
    <t>HS Spišská Nová Ves</t>
  </si>
  <si>
    <t>TATRA T 815 PP-27-2 H</t>
  </si>
  <si>
    <t>ZB HaZZ MA</t>
  </si>
  <si>
    <t>Záchranná brigáda Malacky</t>
  </si>
  <si>
    <t>IVECO 180E EUROCARGO H</t>
  </si>
  <si>
    <t>OR HaZZ NZ</t>
  </si>
  <si>
    <t>HS Štúrovo</t>
  </si>
  <si>
    <t>AHZS 1D Magirus Multistar Iveco Eurocargo</t>
  </si>
  <si>
    <t>MERCEDES BENZ ACTROS 2641 H</t>
  </si>
  <si>
    <t>HS Nitra</t>
  </si>
  <si>
    <t xml:space="preserve">AP F42 RL Bronto Skylift MB Actros </t>
  </si>
  <si>
    <t>KR HaZZ PO</t>
  </si>
  <si>
    <t>OR HaZZ PO</t>
  </si>
  <si>
    <t xml:space="preserve">HS Prešov </t>
  </si>
  <si>
    <t>IVECO EUROCARGO 180E/180E30/.</t>
  </si>
  <si>
    <t>KR HaZZ BA</t>
  </si>
  <si>
    <t>OR HaZZ MA</t>
  </si>
  <si>
    <t>HS Malacky</t>
  </si>
  <si>
    <t>mimo výjazd</t>
  </si>
  <si>
    <t>OR HaZZ VK</t>
  </si>
  <si>
    <t>HS Modrý Kameň</t>
  </si>
  <si>
    <t xml:space="preserve">HS Žiar nad Hronom  </t>
  </si>
  <si>
    <t>OR HaZZ ZV</t>
  </si>
  <si>
    <t>HS Detva</t>
  </si>
  <si>
    <t>IVECO Eurocargo 180E/180E30/.</t>
  </si>
  <si>
    <t>OR HaZZ TO</t>
  </si>
  <si>
    <t>HS Topoľčany</t>
  </si>
  <si>
    <t>OR HaZZ PP</t>
  </si>
  <si>
    <t xml:space="preserve">HS Vysoké Tatry               </t>
  </si>
  <si>
    <t>KR HaZZ TN</t>
  </si>
  <si>
    <t>OR HaZZ NM</t>
  </si>
  <si>
    <t>HS Nové Mesto nad Váhom</t>
  </si>
  <si>
    <t>OR HaZZ PB</t>
  </si>
  <si>
    <t>HS Považská Bystrica</t>
  </si>
  <si>
    <t>OR HaZZ PN</t>
  </si>
  <si>
    <t xml:space="preserve">HS Piešťany  </t>
  </si>
  <si>
    <t>HS Trebišov</t>
  </si>
  <si>
    <t>IVECO EUROCARGO ML180E ML180E/ML180E30/.</t>
  </si>
  <si>
    <t>HaZÚ</t>
  </si>
  <si>
    <t>HS 3 Bratislava-Nové Mesto (Hálkova)</t>
  </si>
  <si>
    <t>MAN TGS 26.440 6x4 BB 26S/./.</t>
  </si>
  <si>
    <t>HS 4 Bratislava-Dúbravka (Saratovská)</t>
  </si>
  <si>
    <t>AP F44 RLX Bronto Skylift MAN TGS</t>
  </si>
  <si>
    <t>OR HaZZ LC</t>
  </si>
  <si>
    <t xml:space="preserve">HS Lučenec  </t>
  </si>
  <si>
    <t>OR HaZZ BB</t>
  </si>
  <si>
    <t xml:space="preserve">HS Banská Bystrica </t>
  </si>
  <si>
    <t>OR HaZZ KS</t>
  </si>
  <si>
    <t>HS Moldava nad Bodvou</t>
  </si>
  <si>
    <t>MAN TGS 26.440 6x4 BB 26S/-/.</t>
  </si>
  <si>
    <t>OR HaZZ KE</t>
  </si>
  <si>
    <t>HS Košice-Požiarnická</t>
  </si>
  <si>
    <t>OR HaZZ SL</t>
  </si>
  <si>
    <t xml:space="preserve">HS Stará Ľubovňa </t>
  </si>
  <si>
    <t>OR HaZZ HE</t>
  </si>
  <si>
    <t>HS Humenné</t>
  </si>
  <si>
    <t>OR HaZZ SK</t>
  </si>
  <si>
    <t>HS Svidník</t>
  </si>
  <si>
    <t>MAN TGS 26.440 6x4 BB 26S</t>
  </si>
  <si>
    <t>OR HaZZ TT</t>
  </si>
  <si>
    <t>HS Trnava</t>
  </si>
  <si>
    <t>OR HaZZ DK</t>
  </si>
  <si>
    <t>HS Dolný Kubín</t>
  </si>
  <si>
    <t>OR HaZZ ZA</t>
  </si>
  <si>
    <t>HS Žilina</t>
  </si>
  <si>
    <t>IVECO EUROCARGO ML180E ML180E/ML180E30/-</t>
  </si>
  <si>
    <t>HS 1 Bratislava-Staré Mesto (Radlinského)</t>
  </si>
  <si>
    <t>OR HaZZ ZM</t>
  </si>
  <si>
    <t xml:space="preserve">HS Zlaté Moravce </t>
  </si>
  <si>
    <t>HS Bytča</t>
  </si>
  <si>
    <t>OR HaZZ PD</t>
  </si>
  <si>
    <t>HS Handlová</t>
  </si>
  <si>
    <t>Kategória hasičskej stanice</t>
  </si>
  <si>
    <t>II</t>
  </si>
  <si>
    <t>IV</t>
  </si>
  <si>
    <t>III</t>
  </si>
  <si>
    <t>V</t>
  </si>
  <si>
    <t>mimo prevádzky -  technika zaradená dlhodobo mimoprevádzky, v procese vyradenia</t>
  </si>
  <si>
    <t>mimo prevádzky</t>
  </si>
  <si>
    <t xml:space="preserve">zaradená do pohotovosti  </t>
  </si>
  <si>
    <t xml:space="preserve">zaradená do pohotovosti  - stav primeraný k veku nadstavby, častá poruchovosť, nízka prevádzkova spoľahlivosť,  </t>
  </si>
  <si>
    <t>mimo prevádzky - dlhodobo mimo prevádzky, pri odbornej prehliadke zistené nedostatky: prasknuté zvary, nefunkčný suchovod, poškodené hadice, padajúci kôš, únik oleja z podvozkovej aj nadstavbovej časti</t>
  </si>
  <si>
    <t>zaradená do pohotovosti  - častá poruchovosť elektroinštalácie nadstavby, únik hydraulického oleja, samovoľné vysúvanie pätiek, zastaranosť, nízka prevádzkova spoľahlivosť</t>
  </si>
  <si>
    <t>zaradená do pohotovosti  - opakovaný únik motorového a hydraulického oleja z podvozku, nízka prevádzkova spoľahlivosť</t>
  </si>
  <si>
    <t>mimo prevádzky - veľmi častá poruchovosť, nízka prevádzkova spoľahlivosť</t>
  </si>
  <si>
    <t>zaradená do pohotovosti  - stav primeraný k veku nadstavby, častá poruchovosť, nízka prevádzkova spoľahlivosť</t>
  </si>
  <si>
    <t>Opis technického stavu (vyjadrenie užívateľa ku dňu 20.2.2023)</t>
  </si>
  <si>
    <t xml:space="preserve">zaradená do pohotovosti  - opakovaný únik motorového a hydraulického oleja z podvozku, skorodovaný podvozok a nadstavba, vozidlo vekom opotrebované  </t>
  </si>
  <si>
    <t>mimo prevádzky - bez výškovej nadstavby, používa sa iba ako AHZS, nutná oprava pätiek vozidla</t>
  </si>
  <si>
    <t>zaradená do pohotovosti  - podvozková časť vozidla (technický stav) zodpovedá veku vozidla</t>
  </si>
  <si>
    <t>mimo prevádzky - prevodovka, nutná rekonštrukcia (aj náhonu od prevodovky a podvozkovej časti)</t>
  </si>
  <si>
    <t>mimo prevádzky - nedoliehanie kontaktov, sekanie, skladanie do núdzového stavu ...</t>
  </si>
  <si>
    <t>zaradená do pohotovosti  - sporadicky sa vyskytujúca porucha stabilizácie vozidla,</t>
  </si>
  <si>
    <t xml:space="preserve">zaradená do pohotovosti   - nerovnaká rýchlosť otáčania v oboch smeroch, rameno sa otáča aj pri uvolnení ovládača, pohyb ramena v uhloch 80 až 83,3 veľmi pomalý. </t>
  </si>
  <si>
    <t>mimo prevádzky - na servise v Nemecku reklamácia od 10 ročného servisu 2020</t>
  </si>
  <si>
    <t>mimo prevádzky  - od 24.1.2023 (plošina nespôsobilá na prevádzku - nutná oprava tesnenia valcov a výmena ložísk na valcoch oboch ľavých podpier, nutná výmena 2 ks ventilov na nádrži hydraulickej kvapaliny)</t>
  </si>
  <si>
    <t xml:space="preserve">mimo prevádzky - momentálne zaradené iba ako AHZS,výšková technika mimo výjazd z dôvodu absentujúceho 10 ročného servisu </t>
  </si>
  <si>
    <t>mimo prevádzky - na servise v zahraničí</t>
  </si>
  <si>
    <t>Mena</t>
  </si>
  <si>
    <t>Náklady na opravy</t>
  </si>
  <si>
    <t>Stav tachometra ku dňu 20.2.2023</t>
  </si>
  <si>
    <t>Pôvodná hodnota</t>
  </si>
  <si>
    <t>SKK</t>
  </si>
  <si>
    <t>EUR</t>
  </si>
  <si>
    <t>kat</t>
  </si>
  <si>
    <t>zaradena</t>
  </si>
  <si>
    <t>mimo prevadzky</t>
  </si>
  <si>
    <t>Označenia riadkov</t>
  </si>
  <si>
    <t>Celkový súčet</t>
  </si>
  <si>
    <t>Priemer z Stav tachometra ku dňu 20.2.2023</t>
  </si>
  <si>
    <t>Počet z Mena</t>
  </si>
  <si>
    <t>vek</t>
  </si>
  <si>
    <t>pôvodná hodnota v EUR</t>
  </si>
  <si>
    <t>dekáda</t>
  </si>
  <si>
    <t>70s</t>
  </si>
  <si>
    <t>80s</t>
  </si>
  <si>
    <t>90s</t>
  </si>
  <si>
    <t>00s</t>
  </si>
  <si>
    <t>10s</t>
  </si>
  <si>
    <t>Súčet z Počet</t>
  </si>
  <si>
    <t>Počet z zaradena</t>
  </si>
  <si>
    <t>Priemer z Náklady na opravy</t>
  </si>
  <si>
    <t>Priemer z pôvodná hodnota v EUR</t>
  </si>
  <si>
    <t>nájazd na rok</t>
  </si>
  <si>
    <t>Priemer z nájazd na rok</t>
  </si>
  <si>
    <t>Typ stanice</t>
  </si>
  <si>
    <t>Počet staníc</t>
  </si>
  <si>
    <t>Počet plošín</t>
  </si>
  <si>
    <t>Z toho plošín v prevádzke</t>
  </si>
  <si>
    <t>Počet  automobilových plošín  podľa normatívu</t>
  </si>
  <si>
    <t>Percento naplnenia normatívu</t>
  </si>
  <si>
    <t>V prevádzke: priemerný nájazd v km</t>
  </si>
  <si>
    <r>
      <t>V prevádzke: priemerné náklady na servis v EUR</t>
    </r>
    <r>
      <rPr>
        <sz val="8"/>
        <color theme="1"/>
        <rFont val="Times New Roman"/>
        <family val="1"/>
        <charset val="238"/>
      </rPr>
      <t> </t>
    </r>
  </si>
  <si>
    <t>Spolu</t>
  </si>
  <si>
    <t>Kat</t>
  </si>
  <si>
    <t>kategória V má síce málo zásahov v km (v krasjských mestách, nejazdia ďaleko) ale vysoko nadpriemerné priemerné opravy</t>
  </si>
  <si>
    <t>ID</t>
  </si>
  <si>
    <t>v prevádzke</t>
  </si>
  <si>
    <t>Stav</t>
  </si>
  <si>
    <t>Nájazd v km</t>
  </si>
  <si>
    <t>Tabuľka 1</t>
  </si>
  <si>
    <t>"Generácia" vozidla</t>
  </si>
  <si>
    <t>počet bodov: spoľahlivosť</t>
  </si>
  <si>
    <t>priemerny pocet oprav za rok (udaje za 20,21,22)</t>
  </si>
  <si>
    <t>vek (počet bodov)</t>
  </si>
  <si>
    <t>Nájazd (km, počet bodov)</t>
  </si>
  <si>
    <t>Typ služby: počet bodov</t>
  </si>
  <si>
    <t>podiel nakladov na nakupnej cene</t>
  </si>
  <si>
    <t>servis (body)</t>
  </si>
  <si>
    <t>body spolu</t>
  </si>
  <si>
    <t>Počet bodov</t>
  </si>
  <si>
    <t>Menej ako 13 bodov</t>
  </si>
  <si>
    <t>Výborný</t>
  </si>
  <si>
    <t>13 až 17 bodov</t>
  </si>
  <si>
    <t>Dobrý</t>
  </si>
  <si>
    <t>18 až 22 bodov</t>
  </si>
  <si>
    <t>Spĺňa podmienky na výmenu</t>
  </si>
  <si>
    <t>viac ako 22 bodov</t>
  </si>
  <si>
    <t>Vyžaduje okamžitú výmenu</t>
  </si>
  <si>
    <t>Počet vozidiel</t>
  </si>
  <si>
    <t>ID vozidla</t>
  </si>
  <si>
    <t>Náklady na servis podľa rokov</t>
  </si>
  <si>
    <t>sumár</t>
  </si>
  <si>
    <t>počet opráv</t>
  </si>
  <si>
    <t>náklady na flotilu</t>
  </si>
  <si>
    <t>2023 (nekompletný rok, po august)</t>
  </si>
  <si>
    <t>rok výroby</t>
  </si>
  <si>
    <t>Súčet z  Skut. suma</t>
  </si>
  <si>
    <t>Označenia stĺpcov</t>
  </si>
  <si>
    <t>Poznámka</t>
  </si>
  <si>
    <t>r+0</t>
  </si>
  <si>
    <t>r+1</t>
  </si>
  <si>
    <t>r+2</t>
  </si>
  <si>
    <t>r+3</t>
  </si>
  <si>
    <t>r+4</t>
  </si>
  <si>
    <t>r+5</t>
  </si>
  <si>
    <t>r+6</t>
  </si>
  <si>
    <t>r+7</t>
  </si>
  <si>
    <t>r+8</t>
  </si>
  <si>
    <t>r+9</t>
  </si>
  <si>
    <t>r+10</t>
  </si>
  <si>
    <t>r+11</t>
  </si>
  <si>
    <t>r+12</t>
  </si>
  <si>
    <t>r+13</t>
  </si>
  <si>
    <t>r+14</t>
  </si>
  <si>
    <t>r+15</t>
  </si>
  <si>
    <t>r+16</t>
  </si>
  <si>
    <t>spolu za automobily od roku 2007</t>
  </si>
  <si>
    <t>Kvôli skutočnosti, že relevantné dáta o opravách sú až od roku 2013, tak sme pre odhad nákladov podľa veku vozidla vzali do úvahy iba vozidlá registrované po roku 2007 (vrátane)</t>
  </si>
  <si>
    <t>Dáta sú za 28 vozidiel z celkového počtu 47</t>
  </si>
  <si>
    <t>Dáta zohľadňujú 1084 opráv  (návštev servisov)</t>
  </si>
  <si>
    <t>spolu</t>
  </si>
  <si>
    <t>Dáta sú relevantné najmä po piatom roku od registrácie, najviac spoľahlivé sú dáta medzi šiestym a jedenástym rokom</t>
  </si>
  <si>
    <t>1. Úvod</t>
  </si>
  <si>
    <t>Údaj</t>
  </si>
  <si>
    <t xml:space="preserve">Použitá cenová úroveň </t>
  </si>
  <si>
    <t>stále ceny 2023</t>
  </si>
  <si>
    <t>Referenčné obdobie v rokoch</t>
  </si>
  <si>
    <t>Dodanie vozidiel (predoklad)</t>
  </si>
  <si>
    <t xml:space="preserve">Diskontná sadzba (finančná) </t>
  </si>
  <si>
    <t>2. Investičné náklady</t>
  </si>
  <si>
    <t>Hasičský automobil kategórie 1B</t>
  </si>
  <si>
    <t>Celkové investičné náklady bez DPH (štátny rozpočet)</t>
  </si>
  <si>
    <t>3. Zostatková hodnota na základe životnosti infraštruktrálnych prvkov</t>
  </si>
  <si>
    <t>Zostatková hodnota v €</t>
  </si>
  <si>
    <t>Zostatková hodnota</t>
  </si>
  <si>
    <t>počet rokov</t>
  </si>
  <si>
    <t>Odhadovaná doba životnosti</t>
  </si>
  <si>
    <t>referenčné obdobie</t>
  </si>
  <si>
    <t>Obdobie prevádzky ako prvovýjazdového vozidla počas referenčného obdobia</t>
  </si>
  <si>
    <t>Zostávajúca životnosť v %</t>
  </si>
  <si>
    <t>4. Prevádzkové náklady</t>
  </si>
  <si>
    <t>Bez projektu</t>
  </si>
  <si>
    <t>Servisné náklady na súčasnú flotilu</t>
  </si>
  <si>
    <t>S projektom</t>
  </si>
  <si>
    <t>Odhad ročných servisných nákladov na zakúpenú techniku</t>
  </si>
  <si>
    <t>Celkové prevádzkové náklady</t>
  </si>
  <si>
    <t>Inkrementálne</t>
  </si>
  <si>
    <t>Servisné náklady</t>
  </si>
  <si>
    <t>5. Prevádzkové výnosy</t>
  </si>
  <si>
    <t>Projekt nemá prevádzkové výnosy</t>
  </si>
  <si>
    <t>6. Finančná analýza</t>
  </si>
  <si>
    <t>spolu diskontované</t>
  </si>
  <si>
    <t>Investičné náklady</t>
  </si>
  <si>
    <t>Prevádzkové náklady</t>
  </si>
  <si>
    <t>Prevádzkové výnosy</t>
  </si>
  <si>
    <t>Čisté peňažné toky</t>
  </si>
  <si>
    <t>Finančná čistá súčasná hodnota investície (FRR_C)</t>
  </si>
  <si>
    <t>Finančné vnútorné výnosové percento investície  (FIRR_C)</t>
  </si>
  <si>
    <t>počet vozidielň</t>
  </si>
  <si>
    <t>počet vozidiel v prevádzke</t>
  </si>
  <si>
    <t>Priemer nákladov na opravy</t>
  </si>
  <si>
    <t>Priemerný počet najazdených kilometrov</t>
  </si>
  <si>
    <t>Priemerný nájazd na rok v prevádzke</t>
  </si>
  <si>
    <t>podiel servisných nákladov na nákupnej cene</t>
  </si>
  <si>
    <t>(netreba uvádzať)</t>
  </si>
  <si>
    <t>Vyhodnotenie</t>
  </si>
  <si>
    <t>Interpretácia</t>
  </si>
  <si>
    <t>V súčasnosti 44 plošín spadá do kategórie "vyžduje okamžitú výmenu"</t>
  </si>
  <si>
    <t>2 plošiny spĺňaju podmienky na výmenu</t>
  </si>
  <si>
    <t>1 plošina spadá do kategórie "dobrý stav"</t>
  </si>
  <si>
    <t>V odhadovanom čase výmeny budú všetky plošiny minimálne v kategórii "spĺňa podmienky na výmenu"</t>
  </si>
  <si>
    <t>počet funkčných plošín na 1 stanicu</t>
  </si>
  <si>
    <t>(Všetko)</t>
  </si>
  <si>
    <t>Poznámky k tabuľke 1:
Priemerný nájazd na rok je u novších automobilov vyšší ako u starších, z čoho vyplýva že sú vyťažované viac. Tomu zodpovedá aj vyššia priemerná suma nákladov na opravy u novších automobilov.
Novšie automobily sú vyťažované výraznejšie kvôi zlému technickému stavu a morálnemu opotrebeniu automobilovz 90-tých rokov</t>
  </si>
  <si>
    <t>Z toho vyplýva, že automobily v staniciach typu V sú vyťažované nadpriemerne</t>
  </si>
  <si>
    <t>V súčasnosti HaZZ disponuje iba necelou tretinou počtu vozidiel podľa normatívu, väčšina z týchto vozidiel je morálne zastaraná a potrebuje okamžitú výmenu</t>
  </si>
  <si>
    <t>Analýza citlivosti</t>
  </si>
  <si>
    <t>Premenná</t>
  </si>
  <si>
    <t>Variácia FNPV pri zmene premennej o ±1 %</t>
  </si>
  <si>
    <t>Posúdenie kritickosti</t>
  </si>
  <si>
    <t>Celkové investičné náklady</t>
  </si>
  <si>
    <t>kritické</t>
  </si>
  <si>
    <t>nie je kritické</t>
  </si>
  <si>
    <t>inflácia</t>
  </si>
  <si>
    <t>náklady na flotilu v cenách roku 2024</t>
  </si>
  <si>
    <t>súčet v cenách roku 2024</t>
  </si>
  <si>
    <t>súčet</t>
  </si>
  <si>
    <t>Spolu (dopočítané extrapoláciou trendu pre roky od registrácie) v cenách 2024</t>
  </si>
  <si>
    <t>Spolu (dopočítané extrapoláciou trendu pre roky od registrácie) v cenách 2024, dopočítané pre zvyšok flotily</t>
  </si>
  <si>
    <t>Nákupná cena</t>
  </si>
  <si>
    <t>Reálne sa opravy začali uvádzať až v roku 2013, dovtedy bezpredmetné</t>
  </si>
  <si>
    <t>Servisné náklady na preferovaný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</si>
</sst>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\ _S_k_-;\-* #,##0.00\ _S_k_-;_-* &quot;-&quot;??\ _S_k_-;_-@_-"/>
    <numFmt numFmtId="167" formatCode="_-* #,##0.00\ _S_k_-;\-* #,##0.00\ _S_k_-;_-* \-??\ _S_k_-;_-@_-"/>
    <numFmt numFmtId="168" formatCode="0.000"/>
    <numFmt numFmtId="169" formatCode="_-* #,##0\ &quot;€&quot;_-;\-* #,##0\ &quot;€&quot;_-;_-* &quot;-&quot;??\ &quot;€&quot;_-;_-@_-"/>
  </numFmts>
  <fonts count="7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Courier"/>
      <family val="1"/>
      <charset val="238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17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9" applyNumberFormat="0" applyAlignment="0" applyProtection="0"/>
    <xf numFmtId="0" fontId="19" fillId="11" borderId="10" applyNumberFormat="0" applyAlignment="0" applyProtection="0"/>
    <xf numFmtId="0" fontId="20" fillId="11" borderId="9" applyNumberFormat="0" applyAlignment="0" applyProtection="0"/>
    <xf numFmtId="0" fontId="21" fillId="0" borderId="11" applyNumberFormat="0" applyFill="0" applyAlignment="0" applyProtection="0"/>
    <xf numFmtId="0" fontId="22" fillId="12" borderId="12" applyNumberFormat="0" applyAlignment="0" applyProtection="0"/>
    <xf numFmtId="0" fontId="23" fillId="0" borderId="0" applyNumberFormat="0" applyFill="0" applyBorder="0" applyAlignment="0" applyProtection="0"/>
    <xf numFmtId="0" fontId="5" fillId="13" borderId="13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8" fillId="0" borderId="0"/>
    <xf numFmtId="4" fontId="31" fillId="43" borderId="24" applyNumberFormat="0" applyProtection="0">
      <alignment vertical="center"/>
    </xf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/>
    <xf numFmtId="0" fontId="2" fillId="0" borderId="0">
      <alignment vertical="center"/>
    </xf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" fillId="0" borderId="0">
      <alignment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5" fillId="0" borderId="0"/>
    <xf numFmtId="9" fontId="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" fillId="0" borderId="0"/>
    <xf numFmtId="9" fontId="29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35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8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7" fillId="0" borderId="0"/>
    <xf numFmtId="9" fontId="27" fillId="0" borderId="0" applyFont="0" applyFill="0" applyBorder="0" applyAlignment="0" applyProtection="0"/>
    <xf numFmtId="0" fontId="29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8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27" fillId="0" borderId="0"/>
    <xf numFmtId="9" fontId="27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9" fillId="0" borderId="0"/>
    <xf numFmtId="166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" fillId="0" borderId="0">
      <alignment vertical="center"/>
    </xf>
    <xf numFmtId="0" fontId="29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>
      <alignment vertical="center"/>
    </xf>
    <xf numFmtId="0" fontId="29" fillId="0" borderId="0"/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5" fillId="0" borderId="0"/>
    <xf numFmtId="0" fontId="2" fillId="0" borderId="0">
      <alignment vertical="center"/>
    </xf>
    <xf numFmtId="9" fontId="36" fillId="0" borderId="0" applyFont="0" applyFill="0" applyBorder="0" applyAlignment="0" applyProtection="0"/>
    <xf numFmtId="0" fontId="29" fillId="0" borderId="0"/>
    <xf numFmtId="0" fontId="29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29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29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29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29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" fillId="0" borderId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9" applyNumberFormat="0" applyAlignment="0" applyProtection="0"/>
    <xf numFmtId="0" fontId="45" fillId="11" borderId="10" applyNumberFormat="0" applyAlignment="0" applyProtection="0"/>
    <xf numFmtId="0" fontId="46" fillId="11" borderId="9" applyNumberFormat="0" applyAlignment="0" applyProtection="0"/>
    <xf numFmtId="0" fontId="47" fillId="0" borderId="11" applyNumberFormat="0" applyFill="0" applyAlignment="0" applyProtection="0"/>
    <xf numFmtId="0" fontId="48" fillId="12" borderId="1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52" fillId="37" borderId="0" applyNumberFormat="0" applyBorder="0" applyAlignment="0" applyProtection="0"/>
    <xf numFmtId="0" fontId="28" fillId="13" borderId="13" applyNumberFormat="0" applyFont="0" applyAlignment="0" applyProtection="0"/>
    <xf numFmtId="0" fontId="28" fillId="13" borderId="13" applyNumberFormat="0" applyFont="0" applyAlignment="0" applyProtection="0"/>
    <xf numFmtId="0" fontId="28" fillId="13" borderId="13" applyNumberFormat="0" applyFont="0" applyAlignment="0" applyProtection="0"/>
    <xf numFmtId="0" fontId="28" fillId="13" borderId="13" applyNumberFormat="0" applyFont="0" applyAlignment="0" applyProtection="0"/>
    <xf numFmtId="0" fontId="28" fillId="13" borderId="13" applyNumberFormat="0" applyFont="0" applyAlignment="0" applyProtection="0"/>
    <xf numFmtId="0" fontId="28" fillId="13" borderId="13" applyNumberFormat="0" applyFont="0" applyAlignment="0" applyProtection="0"/>
    <xf numFmtId="0" fontId="28" fillId="0" borderId="0"/>
    <xf numFmtId="0" fontId="2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0"/>
    <xf numFmtId="0" fontId="53" fillId="0" borderId="0"/>
    <xf numFmtId="0" fontId="27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55" fillId="56" borderId="0" applyNumberFormat="0" applyBorder="0" applyAlignment="0" applyProtection="0"/>
    <xf numFmtId="0" fontId="54" fillId="50" borderId="0" applyNumberFormat="0" applyBorder="0" applyAlignment="0" applyProtection="0"/>
    <xf numFmtId="0" fontId="55" fillId="52" borderId="0" applyNumberFormat="0" applyBorder="0" applyAlignment="0" applyProtection="0"/>
    <xf numFmtId="0" fontId="2" fillId="0" borderId="0"/>
    <xf numFmtId="0" fontId="60" fillId="46" borderId="0" applyNumberFormat="0" applyBorder="0" applyAlignment="0" applyProtection="0"/>
    <xf numFmtId="0" fontId="2" fillId="0" borderId="0"/>
    <xf numFmtId="0" fontId="54" fillId="64" borderId="31" applyNumberFormat="0" applyFont="0" applyAlignment="0" applyProtection="0"/>
    <xf numFmtId="0" fontId="2" fillId="0" borderId="0"/>
    <xf numFmtId="0" fontId="69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8" fillId="63" borderId="26" applyNumberFormat="0" applyAlignment="0" applyProtection="0"/>
    <xf numFmtId="0" fontId="53" fillId="0" borderId="0"/>
    <xf numFmtId="0" fontId="2" fillId="0" borderId="0"/>
    <xf numFmtId="9" fontId="2" fillId="0" borderId="0" applyFont="0" applyFill="0" applyBorder="0" applyAlignment="0" applyProtection="0"/>
    <xf numFmtId="0" fontId="55" fillId="55" borderId="0" applyNumberFormat="0" applyBorder="0" applyAlignment="0" applyProtection="0"/>
    <xf numFmtId="0" fontId="54" fillId="46" borderId="0" applyNumberFormat="0" applyBorder="0" applyAlignment="0" applyProtection="0"/>
    <xf numFmtId="0" fontId="55" fillId="60" borderId="0" applyNumberFormat="0" applyBorder="0" applyAlignment="0" applyProtection="0"/>
    <xf numFmtId="0" fontId="2" fillId="0" borderId="0"/>
    <xf numFmtId="0" fontId="2" fillId="0" borderId="0"/>
    <xf numFmtId="0" fontId="54" fillId="50" borderId="0" applyNumberFormat="0" applyBorder="0" applyAlignment="0" applyProtection="0"/>
    <xf numFmtId="0" fontId="2" fillId="0" borderId="0"/>
    <xf numFmtId="0" fontId="64" fillId="49" borderId="25" applyNumberFormat="0" applyAlignment="0" applyProtection="0"/>
    <xf numFmtId="0" fontId="2" fillId="0" borderId="0"/>
    <xf numFmtId="0" fontId="54" fillId="52" borderId="0" applyNumberFormat="0" applyBorder="0" applyAlignment="0" applyProtection="0"/>
    <xf numFmtId="0" fontId="2" fillId="0" borderId="0"/>
    <xf numFmtId="0" fontId="65" fillId="0" borderId="3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54" fillId="47" borderId="0" applyNumberFormat="0" applyBorder="0" applyAlignment="0" applyProtection="0"/>
    <xf numFmtId="0" fontId="54" fillId="45" borderId="0" applyNumberFormat="0" applyBorder="0" applyAlignment="0" applyProtection="0"/>
    <xf numFmtId="0" fontId="67" fillId="62" borderId="32" applyNumberFormat="0" applyAlignment="0" applyProtection="0"/>
    <xf numFmtId="0" fontId="63" fillId="0" borderId="29" applyNumberFormat="0" applyFill="0" applyAlignment="0" applyProtection="0"/>
    <xf numFmtId="0" fontId="54" fillId="53" borderId="0" applyNumberFormat="0" applyBorder="0" applyAlignment="0" applyProtection="0"/>
    <xf numFmtId="0" fontId="61" fillId="0" borderId="27" applyNumberFormat="0" applyFill="0" applyAlignment="0" applyProtection="0"/>
    <xf numFmtId="0" fontId="54" fillId="51" borderId="0" applyNumberFormat="0" applyBorder="0" applyAlignment="0" applyProtection="0"/>
    <xf numFmtId="0" fontId="2" fillId="0" borderId="0"/>
    <xf numFmtId="0" fontId="55" fillId="58" borderId="0" applyNumberFormat="0" applyBorder="0" applyAlignment="0" applyProtection="0"/>
    <xf numFmtId="0" fontId="57" fillId="62" borderId="25" applyNumberFormat="0" applyAlignment="0" applyProtection="0"/>
    <xf numFmtId="0" fontId="54" fillId="48" borderId="0" applyNumberFormat="0" applyBorder="0" applyAlignment="0" applyProtection="0"/>
    <xf numFmtId="0" fontId="62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55" fillId="56" borderId="0" applyNumberFormat="0" applyBorder="0" applyAlignment="0" applyProtection="0"/>
    <xf numFmtId="0" fontId="55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8" fillId="0" borderId="0" applyNumberFormat="0" applyFill="0" applyBorder="0" applyAlignment="0" applyProtection="0"/>
    <xf numFmtId="0" fontId="55" fillId="61" borderId="0" applyNumberFormat="0" applyBorder="0" applyAlignment="0" applyProtection="0"/>
    <xf numFmtId="0" fontId="2" fillId="0" borderId="0"/>
    <xf numFmtId="0" fontId="54" fillId="4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5" fillId="59" borderId="0" applyNumberFormat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45" borderId="0" applyNumberFormat="0" applyBorder="0" applyAlignment="0" applyProtection="0"/>
    <xf numFmtId="0" fontId="55" fillId="57" borderId="0" applyNumberFormat="0" applyBorder="0" applyAlignment="0" applyProtection="0"/>
    <xf numFmtId="0" fontId="55" fillId="54" borderId="0" applyNumberFormat="0" applyBorder="0" applyAlignment="0" applyProtection="0"/>
    <xf numFmtId="9" fontId="2" fillId="0" borderId="0" applyFont="0" applyFill="0" applyBorder="0" applyAlignment="0" applyProtection="0"/>
    <xf numFmtId="0" fontId="66" fillId="43" borderId="0" applyNumberFormat="0" applyBorder="0" applyAlignment="0" applyProtection="0"/>
    <xf numFmtId="0" fontId="54" fillId="44" borderId="0" applyNumberFormat="0" applyBorder="0" applyAlignment="0" applyProtection="0"/>
    <xf numFmtId="0" fontId="2" fillId="0" borderId="0"/>
    <xf numFmtId="0" fontId="26" fillId="0" borderId="0"/>
    <xf numFmtId="167" fontId="2" fillId="0" borderId="0" applyFill="0" applyBorder="0" applyAlignment="0" applyProtection="0"/>
    <xf numFmtId="0" fontId="27" fillId="0" borderId="0"/>
    <xf numFmtId="0" fontId="2" fillId="0" borderId="0">
      <alignment vertical="center"/>
    </xf>
    <xf numFmtId="166" fontId="2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7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55" fillId="55" borderId="0" applyNumberFormat="0" applyBorder="0" applyAlignment="0" applyProtection="0"/>
    <xf numFmtId="0" fontId="54" fillId="4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>
      <alignment vertical="center"/>
    </xf>
    <xf numFmtId="9" fontId="2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53" fillId="0" borderId="0"/>
    <xf numFmtId="0" fontId="72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6">
    <xf numFmtId="0" fontId="0" fillId="0" borderId="0" xfId="0"/>
    <xf numFmtId="0" fontId="3" fillId="2" borderId="1" xfId="1" applyFont="1" applyFill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2" fillId="4" borderId="1" xfId="0" applyFont="1" applyFill="1" applyBorder="1" applyAlignment="1" applyProtection="1">
      <alignment horizontal="left" vertical="top" wrapText="1"/>
      <protection hidden="1"/>
    </xf>
    <xf numFmtId="0" fontId="0" fillId="0" borderId="1" xfId="0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horizontal="right" vertical="top" wrapText="1"/>
      <protection hidden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1" xfId="2" applyFont="1" applyBorder="1" applyAlignment="1">
      <alignment horizontal="right" vertical="top"/>
    </xf>
    <xf numFmtId="43" fontId="1" fillId="3" borderId="1" xfId="2" applyFont="1" applyFill="1" applyBorder="1" applyAlignment="1" applyProtection="1">
      <alignment horizontal="right" vertical="top" wrapText="1"/>
      <protection hidden="1"/>
    </xf>
    <xf numFmtId="43" fontId="0" fillId="0" borderId="0" xfId="2" applyFont="1" applyAlignment="1">
      <alignment horizontal="right" vertical="top"/>
    </xf>
    <xf numFmtId="44" fontId="0" fillId="0" borderId="1" xfId="3" applyFont="1" applyBorder="1" applyAlignment="1">
      <alignment horizontal="right" vertical="top"/>
    </xf>
    <xf numFmtId="44" fontId="0" fillId="0" borderId="0" xfId="3" applyFont="1" applyAlignment="1">
      <alignment horizontal="right" vertical="top"/>
    </xf>
    <xf numFmtId="44" fontId="0" fillId="0" borderId="0" xfId="0" applyNumberFormat="1"/>
    <xf numFmtId="9" fontId="0" fillId="0" borderId="0" xfId="4" applyFont="1"/>
    <xf numFmtId="43" fontId="0" fillId="0" borderId="0" xfId="0" applyNumberFormat="1"/>
    <xf numFmtId="2" fontId="0" fillId="0" borderId="0" xfId="0" applyNumberFormat="1" applyAlignment="1">
      <alignment horizontal="left" vertical="top"/>
    </xf>
    <xf numFmtId="44" fontId="0" fillId="0" borderId="0" xfId="3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right" vertical="top"/>
    </xf>
    <xf numFmtId="0" fontId="1" fillId="38" borderId="16" xfId="0" applyFont="1" applyFill="1" applyBorder="1" applyAlignment="1">
      <alignment horizontal="left"/>
    </xf>
    <xf numFmtId="0" fontId="1" fillId="39" borderId="17" xfId="0" applyFont="1" applyFill="1" applyBorder="1"/>
    <xf numFmtId="0" fontId="1" fillId="39" borderId="18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1" fillId="39" borderId="22" xfId="0" applyFont="1" applyFill="1" applyBorder="1"/>
    <xf numFmtId="0" fontId="0" fillId="0" borderId="0" xfId="0" applyBorder="1"/>
    <xf numFmtId="0" fontId="0" fillId="0" borderId="23" xfId="0" applyBorder="1"/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43" fontId="0" fillId="0" borderId="0" xfId="2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4" fontId="0" fillId="0" borderId="0" xfId="3" applyFont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2" applyNumberFormat="1" applyFont="1" applyBorder="1" applyAlignment="1">
      <alignment horizontal="right" vertical="top" indent="1"/>
    </xf>
    <xf numFmtId="2" fontId="0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0" xfId="0" applyNumberFormat="1" applyFont="1" applyFill="1" applyBorder="1" applyAlignment="1" applyProtection="1">
      <alignment horizontal="left" vertical="top"/>
      <protection locked="0"/>
    </xf>
    <xf numFmtId="9" fontId="0" fillId="0" borderId="0" xfId="4" applyFont="1" applyFill="1" applyBorder="1" applyAlignment="1" applyProtection="1">
      <alignment horizontal="left" vertical="top"/>
      <protection locked="0"/>
    </xf>
    <xf numFmtId="165" fontId="0" fillId="0" borderId="0" xfId="4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1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left" vertical="top"/>
    </xf>
    <xf numFmtId="0" fontId="10" fillId="4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horizontal="left" vertical="top" wrapText="1"/>
    </xf>
    <xf numFmtId="0" fontId="9" fillId="6" borderId="17" xfId="1" applyFont="1" applyFill="1" applyBorder="1" applyAlignment="1" applyProtection="1">
      <alignment horizontal="left" vertical="top" wrapText="1"/>
      <protection locked="0" hidden="1"/>
    </xf>
    <xf numFmtId="0" fontId="1" fillId="6" borderId="22" xfId="0" applyFont="1" applyFill="1" applyBorder="1" applyAlignment="1">
      <alignment horizontal="left" vertical="top"/>
    </xf>
    <xf numFmtId="0" fontId="9" fillId="6" borderId="22" xfId="1" applyFont="1" applyFill="1" applyBorder="1" applyAlignment="1" applyProtection="1">
      <alignment horizontal="left" vertical="top" wrapText="1"/>
      <protection locked="0" hidden="1"/>
    </xf>
    <xf numFmtId="0" fontId="1" fillId="6" borderId="22" xfId="0" applyFont="1" applyFill="1" applyBorder="1" applyAlignment="1" applyProtection="1">
      <alignment horizontal="left" vertical="top" wrapText="1"/>
      <protection hidden="1"/>
    </xf>
    <xf numFmtId="43" fontId="1" fillId="6" borderId="22" xfId="2" applyFont="1" applyFill="1" applyBorder="1" applyAlignment="1" applyProtection="1">
      <alignment horizontal="right" vertical="top" wrapText="1"/>
      <protection hidden="1"/>
    </xf>
    <xf numFmtId="0" fontId="1" fillId="6" borderId="22" xfId="0" applyFont="1" applyFill="1" applyBorder="1" applyAlignment="1" applyProtection="1">
      <alignment horizontal="right" vertical="top" wrapText="1"/>
      <protection hidden="1"/>
    </xf>
    <xf numFmtId="44" fontId="1" fillId="6" borderId="22" xfId="3" applyFont="1" applyFill="1" applyBorder="1" applyAlignment="1" applyProtection="1">
      <alignment horizontal="right" vertical="top" wrapText="1"/>
      <protection hidden="1"/>
    </xf>
    <xf numFmtId="0" fontId="0" fillId="0" borderId="22" xfId="0" applyFont="1" applyBorder="1"/>
    <xf numFmtId="0" fontId="9" fillId="6" borderId="18" xfId="1" applyFont="1" applyFill="1" applyBorder="1" applyAlignment="1" applyProtection="1">
      <alignment horizontal="left" vertical="top" wrapText="1"/>
      <protection locked="0" hidden="1"/>
    </xf>
    <xf numFmtId="0" fontId="0" fillId="0" borderId="19" xfId="0" applyFont="1" applyFill="1" applyBorder="1" applyAlignment="1" applyProtection="1">
      <alignment horizontal="left" vertical="top"/>
      <protection locked="0"/>
    </xf>
    <xf numFmtId="2" fontId="0" fillId="0" borderId="20" xfId="0" applyNumberFormat="1" applyFont="1" applyBorder="1"/>
    <xf numFmtId="0" fontId="0" fillId="0" borderId="21" xfId="0" applyFont="1" applyFill="1" applyBorder="1" applyAlignment="1" applyProtection="1">
      <alignment horizontal="left" vertical="top"/>
      <protection locked="0"/>
    </xf>
    <xf numFmtId="0" fontId="0" fillId="0" borderId="23" xfId="0" applyFont="1" applyBorder="1" applyAlignment="1">
      <alignment horizontal="left" vertical="top"/>
    </xf>
    <xf numFmtId="164" fontId="0" fillId="0" borderId="23" xfId="2" applyNumberFormat="1" applyFont="1" applyBorder="1" applyAlignment="1">
      <alignment horizontal="right" vertical="top" indent="1"/>
    </xf>
    <xf numFmtId="0" fontId="0" fillId="0" borderId="23" xfId="0" applyFont="1" applyFill="1" applyBorder="1" applyAlignment="1" applyProtection="1">
      <alignment horizontal="left" vertical="top"/>
      <protection locked="0"/>
    </xf>
    <xf numFmtId="2" fontId="0" fillId="0" borderId="23" xfId="0" applyNumberFormat="1" applyFont="1" applyFill="1" applyBorder="1" applyAlignment="1" applyProtection="1">
      <alignment horizontal="left" vertical="top"/>
      <protection locked="0"/>
    </xf>
    <xf numFmtId="1" fontId="0" fillId="0" borderId="23" xfId="0" applyNumberFormat="1" applyFont="1" applyFill="1" applyBorder="1" applyAlignment="1" applyProtection="1">
      <alignment horizontal="left" vertical="top"/>
      <protection locked="0"/>
    </xf>
    <xf numFmtId="9" fontId="0" fillId="0" borderId="23" xfId="4" applyFont="1" applyFill="1" applyBorder="1" applyAlignment="1" applyProtection="1">
      <alignment horizontal="left" vertical="top"/>
      <protection locked="0"/>
    </xf>
    <xf numFmtId="165" fontId="0" fillId="0" borderId="23" xfId="4" applyNumberFormat="1" applyFont="1" applyFill="1" applyBorder="1" applyAlignment="1" applyProtection="1">
      <alignment horizontal="left" vertical="top"/>
      <protection locked="0"/>
    </xf>
    <xf numFmtId="0" fontId="10" fillId="0" borderId="23" xfId="0" applyFont="1" applyFill="1" applyBorder="1" applyAlignment="1" applyProtection="1">
      <alignment horizontal="left" vertical="top" wrapText="1"/>
      <protection hidden="1"/>
    </xf>
    <xf numFmtId="43" fontId="0" fillId="0" borderId="23" xfId="2" applyFont="1" applyBorder="1" applyAlignment="1">
      <alignment horizontal="right" vertical="top"/>
    </xf>
    <xf numFmtId="0" fontId="0" fillId="0" borderId="23" xfId="0" applyFont="1" applyBorder="1" applyAlignment="1">
      <alignment horizontal="right" vertical="top"/>
    </xf>
    <xf numFmtId="44" fontId="0" fillId="0" borderId="23" xfId="3" applyFont="1" applyBorder="1" applyAlignment="1">
      <alignment horizontal="right" vertical="top"/>
    </xf>
    <xf numFmtId="1" fontId="0" fillId="0" borderId="23" xfId="0" applyNumberFormat="1" applyFont="1" applyBorder="1" applyAlignment="1">
      <alignment horizontal="right" vertical="top"/>
    </xf>
    <xf numFmtId="0" fontId="0" fillId="0" borderId="23" xfId="0" applyFont="1" applyBorder="1"/>
    <xf numFmtId="2" fontId="0" fillId="0" borderId="23" xfId="0" applyNumberFormat="1" applyFont="1" applyBorder="1" applyAlignment="1">
      <alignment horizontal="left" vertical="top"/>
    </xf>
    <xf numFmtId="2" fontId="0" fillId="0" borderId="5" xfId="0" applyNumberFormat="1" applyFont="1" applyBorder="1"/>
    <xf numFmtId="44" fontId="1" fillId="38" borderId="16" xfId="3" applyFont="1" applyFill="1" applyBorder="1"/>
    <xf numFmtId="0" fontId="0" fillId="39" borderId="0" xfId="0" applyFill="1"/>
    <xf numFmtId="0" fontId="0" fillId="6" borderId="0" xfId="0" applyFill="1"/>
    <xf numFmtId="0" fontId="1" fillId="40" borderId="15" xfId="0" applyFont="1" applyFill="1" applyBorder="1"/>
    <xf numFmtId="0" fontId="1" fillId="6" borderId="0" xfId="0" applyFont="1" applyFill="1"/>
    <xf numFmtId="0" fontId="1" fillId="41" borderId="0" xfId="0" applyFont="1" applyFill="1"/>
    <xf numFmtId="0" fontId="1" fillId="42" borderId="0" xfId="0" applyFont="1" applyFill="1"/>
    <xf numFmtId="0" fontId="1" fillId="39" borderId="0" xfId="0" applyFont="1" applyFill="1"/>
    <xf numFmtId="2" fontId="0" fillId="0" borderId="0" xfId="0" applyNumberFormat="1"/>
    <xf numFmtId="44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/>
    <xf numFmtId="0" fontId="0" fillId="3" borderId="0" xfId="0" applyFill="1"/>
    <xf numFmtId="0" fontId="74" fillId="0" borderId="0" xfId="0" applyFont="1"/>
    <xf numFmtId="1" fontId="1" fillId="0" borderId="0" xfId="3" applyNumberFormat="1" applyFont="1"/>
    <xf numFmtId="168" fontId="0" fillId="0" borderId="0" xfId="0" applyNumberFormat="1"/>
    <xf numFmtId="0" fontId="1" fillId="0" borderId="0" xfId="0" applyFont="1"/>
    <xf numFmtId="165" fontId="73" fillId="0" borderId="0" xfId="1413" applyNumberFormat="1" applyFont="1" applyBorder="1" applyAlignment="1">
      <alignment horizontal="center"/>
    </xf>
    <xf numFmtId="44" fontId="0" fillId="65" borderId="0" xfId="0" applyNumberFormat="1" applyFill="1"/>
    <xf numFmtId="44" fontId="0" fillId="0" borderId="0" xfId="3" applyFont="1" applyFill="1"/>
    <xf numFmtId="9" fontId="0" fillId="0" borderId="0" xfId="0" applyNumberFormat="1"/>
    <xf numFmtId="0" fontId="74" fillId="65" borderId="0" xfId="0" applyFont="1" applyFill="1"/>
    <xf numFmtId="44" fontId="1" fillId="3" borderId="1" xfId="3" applyNumberFormat="1" applyFont="1" applyFill="1" applyBorder="1" applyAlignment="1" applyProtection="1">
      <alignment horizontal="right" vertical="top" wrapText="1"/>
      <protection hidden="1"/>
    </xf>
    <xf numFmtId="44" fontId="0" fillId="0" borderId="1" xfId="3" applyNumberFormat="1" applyFont="1" applyBorder="1" applyAlignment="1">
      <alignment horizontal="right" vertical="top"/>
    </xf>
    <xf numFmtId="44" fontId="0" fillId="0" borderId="0" xfId="3" applyNumberFormat="1" applyFont="1" applyAlignment="1">
      <alignment horizontal="right" vertical="top"/>
    </xf>
    <xf numFmtId="0" fontId="75" fillId="5" borderId="2" xfId="0" applyFont="1" applyFill="1" applyBorder="1" applyAlignment="1">
      <alignment vertical="center" wrapText="1"/>
    </xf>
    <xf numFmtId="0" fontId="75" fillId="5" borderId="3" xfId="0" applyFont="1" applyFill="1" applyBorder="1" applyAlignment="1">
      <alignment vertical="center" wrapText="1"/>
    </xf>
    <xf numFmtId="0" fontId="76" fillId="0" borderId="4" xfId="0" applyFont="1" applyBorder="1" applyAlignment="1">
      <alignment vertical="center" wrapText="1"/>
    </xf>
    <xf numFmtId="10" fontId="76" fillId="0" borderId="5" xfId="0" applyNumberFormat="1" applyFont="1" applyBorder="1" applyAlignment="1">
      <alignment vertical="center" wrapText="1"/>
    </xf>
    <xf numFmtId="0" fontId="76" fillId="0" borderId="5" xfId="0" applyFont="1" applyBorder="1" applyAlignment="1">
      <alignment vertical="center" wrapText="1"/>
    </xf>
    <xf numFmtId="169" fontId="0" fillId="0" borderId="0" xfId="3" applyNumberFormat="1" applyFont="1"/>
    <xf numFmtId="164" fontId="0" fillId="0" borderId="0" xfId="2" applyNumberFormat="1" applyFont="1"/>
    <xf numFmtId="164" fontId="0" fillId="0" borderId="0" xfId="0" applyNumberFormat="1"/>
    <xf numFmtId="2" fontId="0" fillId="0" borderId="0" xfId="0" applyNumberFormat="1" applyFont="1" applyBorder="1"/>
    <xf numFmtId="9" fontId="0" fillId="0" borderId="0" xfId="4" applyFont="1" applyFill="1" applyBorder="1"/>
    <xf numFmtId="9" fontId="0" fillId="0" borderId="0" xfId="4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left" vertical="top"/>
    </xf>
    <xf numFmtId="44" fontId="74" fillId="0" borderId="0" xfId="3" applyFont="1"/>
    <xf numFmtId="44" fontId="0" fillId="66" borderId="0" xfId="3" applyFont="1" applyFill="1"/>
    <xf numFmtId="169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vertical="top" wrapText="1"/>
    </xf>
  </cellXfs>
  <cellStyles count="1417">
    <cellStyle name="_x000a_386grabber=S" xfId="52"/>
    <cellStyle name="_x000a_386grabber=S 10" xfId="1127"/>
    <cellStyle name="_x000a_386grabber=S 2" xfId="62"/>
    <cellStyle name="_x000a_386grabber=S 2 2" xfId="103"/>
    <cellStyle name="_x000a_386grabber=S 3" xfId="96"/>
    <cellStyle name="_x000a_386grabber=S 4" xfId="243"/>
    <cellStyle name="_x000a_386grabber=S 5" xfId="281"/>
    <cellStyle name="_x000a_386grabber=S 6" xfId="255"/>
    <cellStyle name="_x000a_386grabber=S 7" xfId="703"/>
    <cellStyle name="_x000a_386grabber=S 8" xfId="709"/>
    <cellStyle name="_x000a_386grabber=S 9" xfId="1129"/>
    <cellStyle name="=D:\WINNT\SYSTEM32\COMMAND.COM" xfId="53"/>
    <cellStyle name="=D:\WINNT\SYSTEM32\COMMAND.COM 10" xfId="1134"/>
    <cellStyle name="=D:\WINNT\SYSTEM32\COMMAND.COM 2" xfId="61"/>
    <cellStyle name="=D:\WINNT\SYSTEM32\COMMAND.COM 2 2" xfId="102"/>
    <cellStyle name="=D:\WINNT\SYSTEM32\COMMAND.COM 3" xfId="97"/>
    <cellStyle name="=D:\WINNT\SYSTEM32\COMMAND.COM 4" xfId="244"/>
    <cellStyle name="=D:\WINNT\SYSTEM32\COMMAND.COM 5" xfId="267"/>
    <cellStyle name="=D:\WINNT\SYSTEM32\COMMAND.COM 6" xfId="242"/>
    <cellStyle name="=D:\WINNT\SYSTEM32\COMMAND.COM 7" xfId="704"/>
    <cellStyle name="=D:\WINNT\SYSTEM32\COMMAND.COM 8" xfId="702"/>
    <cellStyle name="=D:\WINNT\SYSTEM32\COMMAND.COM 9" xfId="1130"/>
    <cellStyle name="20 % - zvýraznenie1" xfId="23" builtinId="30" customBuiltin="1"/>
    <cellStyle name="20 % - zvýraznenie1 2" xfId="1216"/>
    <cellStyle name="20 % - zvýraznenie2" xfId="27" builtinId="34" customBuiltin="1"/>
    <cellStyle name="20 % - zvýraznenie2 2" xfId="1220"/>
    <cellStyle name="20 % - zvýraznenie3" xfId="31" builtinId="38" customBuiltin="1"/>
    <cellStyle name="20 % - zvýraznenie3 2" xfId="1224"/>
    <cellStyle name="20 % - zvýraznenie4" xfId="35" builtinId="42" customBuiltin="1"/>
    <cellStyle name="20 % - zvýraznenie4 2" xfId="1228"/>
    <cellStyle name="20 % - zvýraznenie5" xfId="39" builtinId="46" customBuiltin="1"/>
    <cellStyle name="20 % - zvýraznenie5 2" xfId="1232"/>
    <cellStyle name="20 % - zvýraznenie6" xfId="43" builtinId="50" customBuiltin="1"/>
    <cellStyle name="20 % - zvýraznenie6 2" xfId="1236"/>
    <cellStyle name="20% - Accent1" xfId="1331"/>
    <cellStyle name="20% - Accent2" xfId="1295"/>
    <cellStyle name="20% - Accent3" xfId="1280"/>
    <cellStyle name="20% - Accent4" xfId="1318"/>
    <cellStyle name="20% - Accent5" xfId="1304"/>
    <cellStyle name="20% - Accent6" xfId="1405"/>
    <cellStyle name="40 % - zvýraznenie1" xfId="24" builtinId="31" customBuiltin="1"/>
    <cellStyle name="40 % - zvýraznenie1 2" xfId="1217"/>
    <cellStyle name="40 % - zvýraznenie2" xfId="28" builtinId="35" customBuiltin="1"/>
    <cellStyle name="40 % - zvýraznenie2 2" xfId="1221"/>
    <cellStyle name="40 % - zvýraznenie3" xfId="32" builtinId="39" customBuiltin="1"/>
    <cellStyle name="40 % - zvýraznenie3 2" xfId="1225"/>
    <cellStyle name="40 % - zvýraznenie4" xfId="36" builtinId="43" customBuiltin="1"/>
    <cellStyle name="40 % - zvýraznenie4 2" xfId="1229"/>
    <cellStyle name="40 % - zvýraznenie5" xfId="40" builtinId="47" customBuiltin="1"/>
    <cellStyle name="40 % - zvýraznenie5 2" xfId="1233"/>
    <cellStyle name="40 % - zvýraznenie6" xfId="44" builtinId="51" customBuiltin="1"/>
    <cellStyle name="40 % - zvýraznenie6 2" xfId="1237"/>
    <cellStyle name="40% - Accent1" xfId="1284"/>
    <cellStyle name="40% - Accent2" xfId="1300"/>
    <cellStyle name="40% - Accent3" xfId="1288"/>
    <cellStyle name="40% - Accent4" xfId="1294"/>
    <cellStyle name="40% - Accent5" xfId="1264"/>
    <cellStyle name="40% - Accent6" xfId="1298"/>
    <cellStyle name="60 % - zvýraznenie1" xfId="25" builtinId="32" customBuiltin="1"/>
    <cellStyle name="60 % - zvýraznenie1 2" xfId="1218"/>
    <cellStyle name="60 % - zvýraznenie2" xfId="29" builtinId="36" customBuiltin="1"/>
    <cellStyle name="60 % - zvýraznenie2 2" xfId="1222"/>
    <cellStyle name="60 % - zvýraznenie3" xfId="33" builtinId="40" customBuiltin="1"/>
    <cellStyle name="60 % - zvýraznenie3 2" xfId="1226"/>
    <cellStyle name="60 % - zvýraznenie4" xfId="37" builtinId="44" customBuiltin="1"/>
    <cellStyle name="60 % - zvýraznenie4 2" xfId="1230"/>
    <cellStyle name="60 % - zvýraznenie5" xfId="41" builtinId="48" customBuiltin="1"/>
    <cellStyle name="60 % - zvýraznenie5 2" xfId="1234"/>
    <cellStyle name="60 % - zvýraznenie6" xfId="45" builtinId="52" customBuiltin="1"/>
    <cellStyle name="60 % - zvýraznenie6 2" xfId="1238"/>
    <cellStyle name="60% - Accent1" xfId="1328"/>
    <cellStyle name="60% - Accent2" xfId="1308"/>
    <cellStyle name="60% - Accent3" xfId="1265"/>
    <cellStyle name="60% - Accent4" xfId="1404"/>
    <cellStyle name="60% - Accent5" xfId="1263"/>
    <cellStyle name="60% - Accent6" xfId="1327"/>
    <cellStyle name="Accent1" xfId="1302"/>
    <cellStyle name="Accent2" xfId="1321"/>
    <cellStyle name="Accent3" xfId="1281"/>
    <cellStyle name="Accent4" xfId="1279"/>
    <cellStyle name="Accent5" xfId="1307"/>
    <cellStyle name="Accent6" xfId="1316"/>
    <cellStyle name="Bad" xfId="1326"/>
    <cellStyle name="Calculation" xfId="1303"/>
    <cellStyle name="Comma_gdp" xfId="49"/>
    <cellStyle name="Čiarka" xfId="2" builtinId="3"/>
    <cellStyle name="Čiarka 2" xfId="48"/>
    <cellStyle name="Čiarka 3" xfId="1334"/>
    <cellStyle name="čiarky 2" xfId="72"/>
    <cellStyle name="čiarky 2 10" xfId="1082"/>
    <cellStyle name="čiarky 2 11" xfId="1103"/>
    <cellStyle name="čiarky 2 2" xfId="110"/>
    <cellStyle name="čiarky 2 3" xfId="1036"/>
    <cellStyle name="čiarky 2 4" xfId="1104"/>
    <cellStyle name="čiarky 2 5" xfId="1066"/>
    <cellStyle name="čiarky 2 6" xfId="1093"/>
    <cellStyle name="čiarky 2 7" xfId="1048"/>
    <cellStyle name="čiarky 2 8" xfId="1078"/>
    <cellStyle name="čiarky 2 9" xfId="1058"/>
    <cellStyle name="čiarky 3" xfId="94"/>
    <cellStyle name="čiarky 4" xfId="121"/>
    <cellStyle name="čiarky 5" xfId="160"/>
    <cellStyle name="čiarky 6" xfId="1337"/>
    <cellStyle name="Date" xfId="694"/>
    <cellStyle name="Dobrá" xfId="10" builtinId="26" customBuiltin="1"/>
    <cellStyle name="Dobrá 2" xfId="1204"/>
    <cellStyle name="Explanatory Text" xfId="1322"/>
    <cellStyle name="Good" xfId="1267"/>
    <cellStyle name="Heading 1" xfId="1299"/>
    <cellStyle name="Heading 2" xfId="1305"/>
    <cellStyle name="Heading 3" xfId="1297"/>
    <cellStyle name="Heading 4" xfId="1306"/>
    <cellStyle name="Hypertextové prepojenie 2" xfId="58"/>
    <cellStyle name="Check Cell" xfId="1275"/>
    <cellStyle name="Input" xfId="1286"/>
    <cellStyle name="Kontrolná bunka" xfId="17" builtinId="23" customBuiltin="1"/>
    <cellStyle name="Kontrolná bunka 2" xfId="1211"/>
    <cellStyle name="Linked Cell" xfId="1290"/>
    <cellStyle name="Mena" xfId="3" builtinId="4"/>
    <cellStyle name="Nadpis 1" xfId="6" builtinId="16" customBuiltin="1"/>
    <cellStyle name="Nadpis 1 2" xfId="1200"/>
    <cellStyle name="Nadpis 2" xfId="7" builtinId="17" customBuiltin="1"/>
    <cellStyle name="Nadpis 2 2" xfId="1201"/>
    <cellStyle name="Nadpis 3" xfId="8" builtinId="18" customBuiltin="1"/>
    <cellStyle name="Nadpis 3 2" xfId="1202"/>
    <cellStyle name="Nadpis 4" xfId="9" builtinId="19" customBuiltin="1"/>
    <cellStyle name="Nadpis 4 2" xfId="1203"/>
    <cellStyle name="Neutral" xfId="1330"/>
    <cellStyle name="Neutrálna" xfId="12" builtinId="28" customBuiltin="1"/>
    <cellStyle name="Neutrálna 2" xfId="1206"/>
    <cellStyle name="Normal 2" xfId="695"/>
    <cellStyle name="Normal_1.1" xfId="232"/>
    <cellStyle name="Normálna" xfId="0" builtinId="0"/>
    <cellStyle name="Normálna 2" xfId="1"/>
    <cellStyle name="Normálna 2 2" xfId="1257"/>
    <cellStyle name="Normálna 2 3" xfId="1276"/>
    <cellStyle name="Normálna 2 4" xfId="47"/>
    <cellStyle name="Normálna 3" xfId="1258"/>
    <cellStyle name="Normálna 4" xfId="1261"/>
    <cellStyle name="Normálna 5" xfId="1408"/>
    <cellStyle name="Normálna 6" xfId="1412"/>
    <cellStyle name="Normálna 7" xfId="46"/>
    <cellStyle name="Normálna 8" xfId="1413"/>
    <cellStyle name="normálne 10" xfId="80"/>
    <cellStyle name="normálne 10 2" xfId="1314"/>
    <cellStyle name="normálne 11" xfId="93"/>
    <cellStyle name="normálne 11 10" xfId="1077"/>
    <cellStyle name="normálne 11 11" xfId="1064"/>
    <cellStyle name="normálne 11 12" xfId="732"/>
    <cellStyle name="normálne 11 12 2" xfId="1363"/>
    <cellStyle name="normálne 11 13" xfId="1128"/>
    <cellStyle name="normálne 11 13 2" xfId="1389"/>
    <cellStyle name="normálne 11 14" xfId="1145"/>
    <cellStyle name="normálne 11 14 2" xfId="1390"/>
    <cellStyle name="normálne 11 15" xfId="1152"/>
    <cellStyle name="normálne 11 15 2" xfId="1391"/>
    <cellStyle name="normálne 11 16" xfId="1159"/>
    <cellStyle name="normálne 11 16 2" xfId="1392"/>
    <cellStyle name="normálne 11 17" xfId="1166"/>
    <cellStyle name="normálne 11 17 2" xfId="1393"/>
    <cellStyle name="normálne 11 18" xfId="1173"/>
    <cellStyle name="normálne 11 18 2" xfId="1394"/>
    <cellStyle name="normálne 11 19" xfId="1179"/>
    <cellStyle name="normálne 11 19 2" xfId="1395"/>
    <cellStyle name="normálne 11 2" xfId="700"/>
    <cellStyle name="normálne 11 2 2" xfId="731"/>
    <cellStyle name="normálne 11 2 3" xfId="968"/>
    <cellStyle name="normálne 11 2 4" xfId="1359"/>
    <cellStyle name="normálne 11 20" xfId="1185"/>
    <cellStyle name="normálne 11 20 2" xfId="1396"/>
    <cellStyle name="normálne 11 21" xfId="1191"/>
    <cellStyle name="normálne 11 21 2" xfId="1397"/>
    <cellStyle name="normálne 11 22" xfId="1197"/>
    <cellStyle name="normálne 11 22 2" xfId="1398"/>
    <cellStyle name="normálne 11 23" xfId="1270"/>
    <cellStyle name="normálne 11 3" xfId="1042"/>
    <cellStyle name="normálne 11 4" xfId="1049"/>
    <cellStyle name="normálne 11 5" xfId="1092"/>
    <cellStyle name="normálne 11 6" xfId="1072"/>
    <cellStyle name="normálne 11 7" xfId="1098"/>
    <cellStyle name="normálne 11 8" xfId="1034"/>
    <cellStyle name="normálne 11 9" xfId="1088"/>
    <cellStyle name="normálne 12" xfId="120"/>
    <cellStyle name="normálne 12 2" xfId="1311"/>
    <cellStyle name="normálne 13" xfId="119"/>
    <cellStyle name="normálne 13 2" xfId="196"/>
    <cellStyle name="normálne 13 2 2" xfId="376"/>
    <cellStyle name="normálne 13 2 3" xfId="513"/>
    <cellStyle name="normálne 13 2 4" xfId="653"/>
    <cellStyle name="normálne 13 2 5" xfId="819"/>
    <cellStyle name="normálne 13 2 6" xfId="922"/>
    <cellStyle name="normálne 13 3" xfId="301"/>
    <cellStyle name="normálne 13 4" xfId="440"/>
    <cellStyle name="normálne 13 5" xfId="582"/>
    <cellStyle name="normálne 13 6" xfId="746"/>
    <cellStyle name="normálne 13 7" xfId="993"/>
    <cellStyle name="normálne 13 8" xfId="1301"/>
    <cellStyle name="normálne 14" xfId="157"/>
    <cellStyle name="normálne 14 2" xfId="231"/>
    <cellStyle name="normálne 14 2 2" xfId="411"/>
    <cellStyle name="normálne 14 2 3" xfId="548"/>
    <cellStyle name="normálne 14 2 4" xfId="688"/>
    <cellStyle name="normálne 14 2 5" xfId="854"/>
    <cellStyle name="normálne 14 2 6" xfId="972"/>
    <cellStyle name="normálne 14 3" xfId="338"/>
    <cellStyle name="normálne 14 4" xfId="476"/>
    <cellStyle name="normálne 14 5" xfId="617"/>
    <cellStyle name="normálne 14 6" xfId="782"/>
    <cellStyle name="normálne 14 7" xfId="900"/>
    <cellStyle name="normálne 14 8" xfId="1291"/>
    <cellStyle name="normálne 15" xfId="159"/>
    <cellStyle name="normálne 15 2" xfId="1268"/>
    <cellStyle name="normálne 16" xfId="158"/>
    <cellStyle name="normálne 16 2" xfId="339"/>
    <cellStyle name="normálne 16 3" xfId="477"/>
    <cellStyle name="normálne 16 4" xfId="618"/>
    <cellStyle name="normálne 16 5" xfId="783"/>
    <cellStyle name="normálne 16 6" xfId="1022"/>
    <cellStyle name="normálne 16 7" xfId="1285"/>
    <cellStyle name="normálne 17" xfId="233"/>
    <cellStyle name="normálne 17 2" xfId="412"/>
    <cellStyle name="normálne 17 3" xfId="549"/>
    <cellStyle name="normálne 17 4" xfId="689"/>
    <cellStyle name="normálne 17 5" xfId="855"/>
    <cellStyle name="normálne 17 6" xfId="978"/>
    <cellStyle name="normálne 17 7" xfId="1292"/>
    <cellStyle name="normálne 18" xfId="234"/>
    <cellStyle name="normálne 18 2" xfId="1332"/>
    <cellStyle name="normálne 19" xfId="237"/>
    <cellStyle name="normálne 19 2" xfId="415"/>
    <cellStyle name="normálne 19 2 2" xfId="1350"/>
    <cellStyle name="normálne 19 3" xfId="552"/>
    <cellStyle name="normálne 19 3 2" xfId="1355"/>
    <cellStyle name="normálne 19 4" xfId="691"/>
    <cellStyle name="normálne 19 4 2" xfId="1357"/>
    <cellStyle name="normálne 19 5" xfId="858"/>
    <cellStyle name="normálne 19 5 2" xfId="1364"/>
    <cellStyle name="normálne 19 6" xfId="955"/>
    <cellStyle name="normálne 19 6 2" xfId="1382"/>
    <cellStyle name="normálne 19 7" xfId="1341"/>
    <cellStyle name="normálne 19 8" xfId="1283"/>
    <cellStyle name="normálne 2" xfId="57"/>
    <cellStyle name="normálne 2 10" xfId="1025"/>
    <cellStyle name="normálne 2 11" xfId="1035"/>
    <cellStyle name="normálne 2 12" xfId="1073"/>
    <cellStyle name="normálne 2 13" xfId="1085"/>
    <cellStyle name="normálne 2 14" xfId="1040"/>
    <cellStyle name="normálne 2 15" xfId="1075"/>
    <cellStyle name="normálne 2 16" xfId="1063"/>
    <cellStyle name="normálne 2 17" xfId="1026"/>
    <cellStyle name="normálne 2 18" xfId="1118"/>
    <cellStyle name="normálne 2 19" xfId="1131"/>
    <cellStyle name="normálne 2 2" xfId="59"/>
    <cellStyle name="normálne 2 2 10" xfId="1099"/>
    <cellStyle name="normálne 2 2 11" xfId="1097"/>
    <cellStyle name="normálne 2 2 12" xfId="1084"/>
    <cellStyle name="normálne 2 2 13" xfId="1076"/>
    <cellStyle name="normálne 2 2 14" xfId="1053"/>
    <cellStyle name="normálne 2 2 15" xfId="864"/>
    <cellStyle name="normálne 2 2 2" xfId="100"/>
    <cellStyle name="normálne 2 2 3" xfId="248"/>
    <cellStyle name="normálne 2 2 4" xfId="296"/>
    <cellStyle name="normálne 2 2 5" xfId="424"/>
    <cellStyle name="normálne 2 2 6" xfId="708"/>
    <cellStyle name="normálne 2 2 6 2" xfId="1028"/>
    <cellStyle name="normálne 2 2 6 3" xfId="1121"/>
    <cellStyle name="normálne 2 2 7" xfId="1027"/>
    <cellStyle name="normálne 2 2 8" xfId="1038"/>
    <cellStyle name="normálne 2 2 9" xfId="1094"/>
    <cellStyle name="normálne 2 20" xfId="1137"/>
    <cellStyle name="normálne 2 21" xfId="1282"/>
    <cellStyle name="normálne 2 3" xfId="66"/>
    <cellStyle name="normálne 2 4" xfId="75"/>
    <cellStyle name="normálne 2 4 10" xfId="898"/>
    <cellStyle name="normálne 2 4 2" xfId="89"/>
    <cellStyle name="normálne 2 4 2 2" xfId="141"/>
    <cellStyle name="normálne 2 4 2 2 2" xfId="215"/>
    <cellStyle name="normálne 2 4 2 2 2 2" xfId="395"/>
    <cellStyle name="normálne 2 4 2 2 2 3" xfId="532"/>
    <cellStyle name="normálne 2 4 2 2 2 4" xfId="672"/>
    <cellStyle name="normálne 2 4 2 2 2 5" xfId="838"/>
    <cellStyle name="normálne 2 4 2 2 2 6" xfId="986"/>
    <cellStyle name="normálne 2 4 2 2 3" xfId="322"/>
    <cellStyle name="normálne 2 4 2 2 4" xfId="460"/>
    <cellStyle name="normálne 2 4 2 2 5" xfId="601"/>
    <cellStyle name="normálne 2 4 2 2 6" xfId="766"/>
    <cellStyle name="normálne 2 4 2 2 7" xfId="951"/>
    <cellStyle name="normálne 2 4 2 3" xfId="180"/>
    <cellStyle name="normálne 2 4 2 3 2" xfId="360"/>
    <cellStyle name="normálne 2 4 2 3 3" xfId="497"/>
    <cellStyle name="normálne 2 4 2 3 4" xfId="637"/>
    <cellStyle name="normálne 2 4 2 3 5" xfId="803"/>
    <cellStyle name="normálne 2 4 2 3 6" xfId="936"/>
    <cellStyle name="normálne 2 4 2 4" xfId="275"/>
    <cellStyle name="normálne 2 4 2 5" xfId="420"/>
    <cellStyle name="normálne 2 4 2 6" xfId="566"/>
    <cellStyle name="normálne 2 4 2 7" xfId="727"/>
    <cellStyle name="normálne 2 4 2 8" xfId="990"/>
    <cellStyle name="normálne 2 4 3" xfId="113"/>
    <cellStyle name="normálne 2 4 3 2" xfId="152"/>
    <cellStyle name="normálne 2 4 3 2 2" xfId="226"/>
    <cellStyle name="normálne 2 4 3 2 2 2" xfId="406"/>
    <cellStyle name="normálne 2 4 3 2 2 3" xfId="543"/>
    <cellStyle name="normálne 2 4 3 2 2 4" xfId="683"/>
    <cellStyle name="normálne 2 4 3 2 2 5" xfId="849"/>
    <cellStyle name="normálne 2 4 3 2 2 6" xfId="913"/>
    <cellStyle name="normálne 2 4 3 2 3" xfId="333"/>
    <cellStyle name="normálne 2 4 3 2 4" xfId="471"/>
    <cellStyle name="normálne 2 4 3 2 5" xfId="612"/>
    <cellStyle name="normálne 2 4 3 2 6" xfId="777"/>
    <cellStyle name="normálne 2 4 3 2 7" xfId="1008"/>
    <cellStyle name="normálne 2 4 3 3" xfId="191"/>
    <cellStyle name="normálne 2 4 3 3 2" xfId="371"/>
    <cellStyle name="normálne 2 4 3 3 3" xfId="508"/>
    <cellStyle name="normálne 2 4 3 3 4" xfId="648"/>
    <cellStyle name="normálne 2 4 3 3 5" xfId="814"/>
    <cellStyle name="normálne 2 4 3 3 6" xfId="992"/>
    <cellStyle name="normálne 2 4 3 4" xfId="295"/>
    <cellStyle name="normálne 2 4 3 5" xfId="435"/>
    <cellStyle name="normálne 2 4 3 6" xfId="577"/>
    <cellStyle name="normálne 2 4 3 7" xfId="741"/>
    <cellStyle name="normálne 2 4 3 8" xfId="980"/>
    <cellStyle name="normálne 2 4 4" xfId="130"/>
    <cellStyle name="normálne 2 4 4 2" xfId="204"/>
    <cellStyle name="normálne 2 4 4 2 2" xfId="384"/>
    <cellStyle name="normálne 2 4 4 2 3" xfId="521"/>
    <cellStyle name="normálne 2 4 4 2 4" xfId="661"/>
    <cellStyle name="normálne 2 4 4 2 5" xfId="827"/>
    <cellStyle name="normálne 2 4 4 2 6" xfId="939"/>
    <cellStyle name="normálne 2 4 4 3" xfId="311"/>
    <cellStyle name="normálne 2 4 4 4" xfId="449"/>
    <cellStyle name="normálne 2 4 4 5" xfId="590"/>
    <cellStyle name="normálne 2 4 4 6" xfId="755"/>
    <cellStyle name="normálne 2 4 4 7" xfId="907"/>
    <cellStyle name="normálne 2 4 5" xfId="169"/>
    <cellStyle name="normálne 2 4 5 2" xfId="349"/>
    <cellStyle name="normálne 2 4 5 3" xfId="486"/>
    <cellStyle name="normálne 2 4 5 4" xfId="626"/>
    <cellStyle name="normálne 2 4 5 5" xfId="792"/>
    <cellStyle name="normálne 2 4 5 6" xfId="896"/>
    <cellStyle name="normálne 2 4 6" xfId="262"/>
    <cellStyle name="normálne 2 4 7" xfId="241"/>
    <cellStyle name="normálne 2 4 8" xfId="555"/>
    <cellStyle name="normálne 2 4 9" xfId="718"/>
    <cellStyle name="normálne 2 5" xfId="69"/>
    <cellStyle name="normálne 2 5 2" xfId="258"/>
    <cellStyle name="normálne 2 5 2 2" xfId="865"/>
    <cellStyle name="normálne 2 5 2 2 2" xfId="1367"/>
    <cellStyle name="normálne 2 5 2 3" xfId="930"/>
    <cellStyle name="normálne 2 5 2 3 2" xfId="1379"/>
    <cellStyle name="normálne 2 5 2 4" xfId="1345"/>
    <cellStyle name="normálne 2 5 3" xfId="340"/>
    <cellStyle name="normálne 2 5 3 2" xfId="901"/>
    <cellStyle name="normálne 2 5 3 2 2" xfId="1375"/>
    <cellStyle name="normálne 2 5 3 3" xfId="1018"/>
    <cellStyle name="normálne 2 5 3 3 2" xfId="1387"/>
    <cellStyle name="normálne 2 5 3 4" xfId="1349"/>
    <cellStyle name="normálne 2 5 4" xfId="426"/>
    <cellStyle name="normálne 2 5 4 2" xfId="929"/>
    <cellStyle name="normálne 2 5 4 2 2" xfId="1378"/>
    <cellStyle name="normálne 2 5 4 3" xfId="1013"/>
    <cellStyle name="normálne 2 5 4 3 2" xfId="1386"/>
    <cellStyle name="normálne 2 5 4 4" xfId="1352"/>
    <cellStyle name="normálne 2 5 5" xfId="715"/>
    <cellStyle name="normálne 2 5 5 2" xfId="1361"/>
    <cellStyle name="normálne 2 5 6" xfId="881"/>
    <cellStyle name="normálne 2 5 6 2" xfId="1371"/>
    <cellStyle name="normálne 2 5 7" xfId="1339"/>
    <cellStyle name="normálne 2 6" xfId="83"/>
    <cellStyle name="normálne 2 6 2" xfId="118"/>
    <cellStyle name="normálne 2 6 2 2" xfId="156"/>
    <cellStyle name="normálne 2 6 2 2 2" xfId="230"/>
    <cellStyle name="normálne 2 6 2 2 2 2" xfId="410"/>
    <cellStyle name="normálne 2 6 2 2 2 3" xfId="547"/>
    <cellStyle name="normálne 2 6 2 2 2 4" xfId="687"/>
    <cellStyle name="normálne 2 6 2 2 2 5" xfId="853"/>
    <cellStyle name="normálne 2 6 2 2 2 6" xfId="1021"/>
    <cellStyle name="normálne 2 6 2 2 3" xfId="337"/>
    <cellStyle name="normálne 2 6 2 2 4" xfId="475"/>
    <cellStyle name="normálne 2 6 2 2 5" xfId="616"/>
    <cellStyle name="normálne 2 6 2 2 6" xfId="781"/>
    <cellStyle name="normálne 2 6 2 2 7" xfId="946"/>
    <cellStyle name="normálne 2 6 2 3" xfId="195"/>
    <cellStyle name="normálne 2 6 2 3 2" xfId="375"/>
    <cellStyle name="normálne 2 6 2 3 3" xfId="512"/>
    <cellStyle name="normálne 2 6 2 3 4" xfId="652"/>
    <cellStyle name="normálne 2 6 2 3 5" xfId="818"/>
    <cellStyle name="normálne 2 6 2 3 6" xfId="970"/>
    <cellStyle name="normálne 2 6 2 4" xfId="300"/>
    <cellStyle name="normálne 2 6 2 5" xfId="439"/>
    <cellStyle name="normálne 2 6 2 6" xfId="581"/>
    <cellStyle name="normálne 2 6 2 7" xfId="745"/>
    <cellStyle name="normálne 2 6 2 8" xfId="912"/>
    <cellStyle name="normálne 2 6 3" xfId="135"/>
    <cellStyle name="normálne 2 6 3 2" xfId="209"/>
    <cellStyle name="normálne 2 6 3 2 2" xfId="389"/>
    <cellStyle name="normálne 2 6 3 2 3" xfId="526"/>
    <cellStyle name="normálne 2 6 3 2 4" xfId="666"/>
    <cellStyle name="normálne 2 6 3 2 5" xfId="832"/>
    <cellStyle name="normálne 2 6 3 2 6" xfId="973"/>
    <cellStyle name="normálne 2 6 3 3" xfId="316"/>
    <cellStyle name="normálne 2 6 3 4" xfId="454"/>
    <cellStyle name="normálne 2 6 3 5" xfId="595"/>
    <cellStyle name="normálne 2 6 3 6" xfId="760"/>
    <cellStyle name="normálne 2 6 3 7" xfId="967"/>
    <cellStyle name="normálne 2 6 4" xfId="174"/>
    <cellStyle name="normálne 2 6 4 2" xfId="354"/>
    <cellStyle name="normálne 2 6 4 3" xfId="491"/>
    <cellStyle name="normálne 2 6 4 4" xfId="631"/>
    <cellStyle name="normálne 2 6 4 5" xfId="797"/>
    <cellStyle name="normálne 2 6 4 6" xfId="863"/>
    <cellStyle name="normálne 2 6 5" xfId="269"/>
    <cellStyle name="normálne 2 6 6" xfId="250"/>
    <cellStyle name="normálne 2 6 7" xfId="560"/>
    <cellStyle name="normálne 2 6 8" xfId="722"/>
    <cellStyle name="normálne 2 6 9" xfId="925"/>
    <cellStyle name="normálne 2 7" xfId="99"/>
    <cellStyle name="normálne 2 7 2" xfId="146"/>
    <cellStyle name="normálne 2 7 2 2" xfId="220"/>
    <cellStyle name="normálne 2 7 2 2 2" xfId="400"/>
    <cellStyle name="normálne 2 7 2 2 3" xfId="537"/>
    <cellStyle name="normálne 2 7 2 2 4" xfId="677"/>
    <cellStyle name="normálne 2 7 2 2 5" xfId="843"/>
    <cellStyle name="normálne 2 7 2 2 6" xfId="917"/>
    <cellStyle name="normálne 2 7 2 3" xfId="327"/>
    <cellStyle name="normálne 2 7 2 4" xfId="465"/>
    <cellStyle name="normálne 2 7 2 5" xfId="606"/>
    <cellStyle name="normálne 2 7 2 6" xfId="771"/>
    <cellStyle name="normálne 2 7 2 7" xfId="1012"/>
    <cellStyle name="normálne 2 7 3" xfId="185"/>
    <cellStyle name="normálne 2 7 3 2" xfId="365"/>
    <cellStyle name="normálne 2 7 3 3" xfId="502"/>
    <cellStyle name="normálne 2 7 3 4" xfId="642"/>
    <cellStyle name="normálne 2 7 3 5" xfId="808"/>
    <cellStyle name="normálne 2 7 3 6" xfId="979"/>
    <cellStyle name="normálne 2 7 4" xfId="284"/>
    <cellStyle name="normálne 2 7 5" xfId="428"/>
    <cellStyle name="normálne 2 7 6" xfId="571"/>
    <cellStyle name="normálne 2 7 7" xfId="734"/>
    <cellStyle name="normálne 2 7 8" xfId="870"/>
    <cellStyle name="normálne 2 8" xfId="124"/>
    <cellStyle name="normálne 2 8 2" xfId="198"/>
    <cellStyle name="normálne 2 8 2 2" xfId="378"/>
    <cellStyle name="normálne 2 8 2 3" xfId="515"/>
    <cellStyle name="normálne 2 8 2 4" xfId="655"/>
    <cellStyle name="normálne 2 8 2 5" xfId="821"/>
    <cellStyle name="normálne 2 8 2 6" xfId="878"/>
    <cellStyle name="normálne 2 8 3" xfId="305"/>
    <cellStyle name="normálne 2 8 4" xfId="443"/>
    <cellStyle name="normálne 2 8 5" xfId="584"/>
    <cellStyle name="normálne 2 8 6" xfId="749"/>
    <cellStyle name="normálne 2 8 7" xfId="923"/>
    <cellStyle name="normálne 2 9" xfId="163"/>
    <cellStyle name="normálne 2 9 2" xfId="343"/>
    <cellStyle name="normálne 2 9 3" xfId="480"/>
    <cellStyle name="normálne 2 9 4" xfId="620"/>
    <cellStyle name="normálne 2 9 5" xfId="786"/>
    <cellStyle name="normálne 2 9 6" xfId="875"/>
    <cellStyle name="normálne 20" xfId="239"/>
    <cellStyle name="normálne 20 2" xfId="1343"/>
    <cellStyle name="normálne 20 3" xfId="1293"/>
    <cellStyle name="normálne 21" xfId="240"/>
    <cellStyle name="normálne 21 2" xfId="1272"/>
    <cellStyle name="normálne 22" xfId="247"/>
    <cellStyle name="normálne 22 2" xfId="1317"/>
    <cellStyle name="normálne 23" xfId="279"/>
    <cellStyle name="normálne 23 2" xfId="1274"/>
    <cellStyle name="normálne 24" xfId="693"/>
    <cellStyle name="normálne 24 2" xfId="739"/>
    <cellStyle name="normálne 24 3" xfId="962"/>
    <cellStyle name="normálne 24 4" xfId="1273"/>
    <cellStyle name="normálne 25" xfId="1024"/>
    <cellStyle name="normálne 25 2" xfId="1287"/>
    <cellStyle name="normálne 26" xfId="1062"/>
    <cellStyle name="normálne 26 2" xfId="1319"/>
    <cellStyle name="normálne 27" xfId="1041"/>
    <cellStyle name="normálne 27 2" xfId="1266"/>
    <cellStyle name="normálne 28" xfId="1055"/>
    <cellStyle name="normálne 29" xfId="1059"/>
    <cellStyle name="normálne 3" xfId="63"/>
    <cellStyle name="normálne 3 10" xfId="441"/>
    <cellStyle name="normálne 3 11" xfId="696"/>
    <cellStyle name="normálne 3 11 2" xfId="1030"/>
    <cellStyle name="normálne 3 11 3" xfId="1123"/>
    <cellStyle name="normálne 3 12" xfId="1051"/>
    <cellStyle name="normálne 3 13" xfId="1096"/>
    <cellStyle name="normálne 3 14" xfId="1111"/>
    <cellStyle name="normálne 3 15" xfId="1045"/>
    <cellStyle name="normálne 3 16" xfId="1086"/>
    <cellStyle name="normálne 3 17" xfId="1108"/>
    <cellStyle name="normálne 3 18" xfId="1050"/>
    <cellStyle name="normálne 3 19" xfId="1052"/>
    <cellStyle name="normálne 3 2" xfId="77"/>
    <cellStyle name="normálne 3 2 10" xfId="890"/>
    <cellStyle name="normálne 3 2 2" xfId="90"/>
    <cellStyle name="normálne 3 2 2 2" xfId="142"/>
    <cellStyle name="normálne 3 2 2 2 2" xfId="216"/>
    <cellStyle name="normálne 3 2 2 2 2 2" xfId="396"/>
    <cellStyle name="normálne 3 2 2 2 2 3" xfId="533"/>
    <cellStyle name="normálne 3 2 2 2 2 4" xfId="673"/>
    <cellStyle name="normálne 3 2 2 2 2 5" xfId="839"/>
    <cellStyle name="normálne 3 2 2 2 2 6" xfId="937"/>
    <cellStyle name="normálne 3 2 2 2 3" xfId="323"/>
    <cellStyle name="normálne 3 2 2 2 4" xfId="461"/>
    <cellStyle name="normálne 3 2 2 2 5" xfId="602"/>
    <cellStyle name="normálne 3 2 2 2 6" xfId="767"/>
    <cellStyle name="normálne 3 2 2 2 7" xfId="905"/>
    <cellStyle name="normálne 3 2 2 3" xfId="181"/>
    <cellStyle name="normálne 3 2 2 3 2" xfId="361"/>
    <cellStyle name="normálne 3 2 2 3 3" xfId="498"/>
    <cellStyle name="normálne 3 2 2 3 4" xfId="638"/>
    <cellStyle name="normálne 3 2 2 3 5" xfId="804"/>
    <cellStyle name="normálne 3 2 2 3 6" xfId="888"/>
    <cellStyle name="normálne 3 2 2 4" xfId="276"/>
    <cellStyle name="normálne 3 2 2 5" xfId="421"/>
    <cellStyle name="normálne 3 2 2 6" xfId="567"/>
    <cellStyle name="normálne 3 2 2 7" xfId="728"/>
    <cellStyle name="normálne 3 2 2 8" xfId="941"/>
    <cellStyle name="normálne 3 2 3" xfId="115"/>
    <cellStyle name="normálne 3 2 3 2" xfId="153"/>
    <cellStyle name="normálne 3 2 3 2 2" xfId="227"/>
    <cellStyle name="normálne 3 2 3 2 2 2" xfId="407"/>
    <cellStyle name="normálne 3 2 3 2 2 3" xfId="544"/>
    <cellStyle name="normálne 3 2 3 2 2 4" xfId="684"/>
    <cellStyle name="normálne 3 2 3 2 2 5" xfId="850"/>
    <cellStyle name="normálne 3 2 3 2 2 6" xfId="994"/>
    <cellStyle name="normálne 3 2 3 2 3" xfId="334"/>
    <cellStyle name="normálne 3 2 3 2 4" xfId="472"/>
    <cellStyle name="normálne 3 2 3 2 5" xfId="613"/>
    <cellStyle name="normálne 3 2 3 2 6" xfId="778"/>
    <cellStyle name="normálne 3 2 3 2 7" xfId="960"/>
    <cellStyle name="normálne 3 2 3 3" xfId="192"/>
    <cellStyle name="normálne 3 2 3 3 2" xfId="372"/>
    <cellStyle name="normálne 3 2 3 3 3" xfId="509"/>
    <cellStyle name="normálne 3 2 3 3 4" xfId="649"/>
    <cellStyle name="normálne 3 2 3 3 5" xfId="815"/>
    <cellStyle name="normálne 3 2 3 3 6" xfId="943"/>
    <cellStyle name="normálne 3 2 3 4" xfId="297"/>
    <cellStyle name="normálne 3 2 3 5" xfId="436"/>
    <cellStyle name="normálne 3 2 3 6" xfId="578"/>
    <cellStyle name="normálne 3 2 3 7" xfId="742"/>
    <cellStyle name="normálne 3 2 3 8" xfId="880"/>
    <cellStyle name="normálne 3 2 4" xfId="131"/>
    <cellStyle name="normálne 3 2 4 2" xfId="205"/>
    <cellStyle name="normálne 3 2 4 2 2" xfId="385"/>
    <cellStyle name="normálne 3 2 4 2 3" xfId="522"/>
    <cellStyle name="normálne 3 2 4 2 4" xfId="662"/>
    <cellStyle name="normálne 3 2 4 2 5" xfId="828"/>
    <cellStyle name="normálne 3 2 4 2 6" xfId="893"/>
    <cellStyle name="normálne 3 2 4 3" xfId="312"/>
    <cellStyle name="normálne 3 2 4 4" xfId="450"/>
    <cellStyle name="normálne 3 2 4 5" xfId="591"/>
    <cellStyle name="normálne 3 2 4 6" xfId="756"/>
    <cellStyle name="normálne 3 2 4 7" xfId="989"/>
    <cellStyle name="normálne 3 2 5" xfId="170"/>
    <cellStyle name="normálne 3 2 5 2" xfId="350"/>
    <cellStyle name="normálne 3 2 5 3" xfId="487"/>
    <cellStyle name="normálne 3 2 5 4" xfId="627"/>
    <cellStyle name="normálne 3 2 5 5" xfId="793"/>
    <cellStyle name="normálne 3 2 5 6" xfId="1017"/>
    <cellStyle name="normálne 3 2 6" xfId="263"/>
    <cellStyle name="normálne 3 2 7" xfId="341"/>
    <cellStyle name="normálne 3 2 8" xfId="556"/>
    <cellStyle name="normálne 3 2 9" xfId="710"/>
    <cellStyle name="normálne 3 20" xfId="924"/>
    <cellStyle name="normálne 3 21" xfId="1132"/>
    <cellStyle name="normálne 3 22" xfId="1141"/>
    <cellStyle name="normálne 3 23" xfId="1148"/>
    <cellStyle name="normálne 3 24" xfId="1155"/>
    <cellStyle name="normálne 3 25" xfId="1162"/>
    <cellStyle name="normálne 3 26" xfId="1169"/>
    <cellStyle name="normálne 3 27" xfId="1175"/>
    <cellStyle name="normálne 3 28" xfId="1181"/>
    <cellStyle name="normálne 3 29" xfId="1187"/>
    <cellStyle name="normálne 3 3" xfId="84"/>
    <cellStyle name="normálne 3 3 2" xfId="136"/>
    <cellStyle name="normálne 3 3 2 2" xfId="210"/>
    <cellStyle name="normálne 3 3 2 2 2" xfId="390"/>
    <cellStyle name="normálne 3 3 2 2 3" xfId="527"/>
    <cellStyle name="normálne 3 3 2 2 4" xfId="667"/>
    <cellStyle name="normálne 3 3 2 2 5" xfId="833"/>
    <cellStyle name="normálne 3 3 2 2 6" xfId="887"/>
    <cellStyle name="normálne 3 3 2 3" xfId="317"/>
    <cellStyle name="normálne 3 3 2 4" xfId="455"/>
    <cellStyle name="normálne 3 3 2 5" xfId="596"/>
    <cellStyle name="normálne 3 3 2 6" xfId="761"/>
    <cellStyle name="normálne 3 3 2 7" xfId="920"/>
    <cellStyle name="normálne 3 3 3" xfId="175"/>
    <cellStyle name="normálne 3 3 3 2" xfId="355"/>
    <cellStyle name="normálne 3 3 3 3" xfId="492"/>
    <cellStyle name="normálne 3 3 3 4" xfId="632"/>
    <cellStyle name="normálne 3 3 3 5" xfId="798"/>
    <cellStyle name="normálne 3 3 3 6" xfId="862"/>
    <cellStyle name="normálne 3 3 4" xfId="270"/>
    <cellStyle name="normálne 3 3 5" xfId="282"/>
    <cellStyle name="normálne 3 3 6" xfId="561"/>
    <cellStyle name="normálne 3 3 7" xfId="723"/>
    <cellStyle name="normálne 3 3 8" xfId="873"/>
    <cellStyle name="normálne 3 30" xfId="1193"/>
    <cellStyle name="normálne 3 4" xfId="104"/>
    <cellStyle name="normálne 3 4 2" xfId="147"/>
    <cellStyle name="normálne 3 4 2 2" xfId="221"/>
    <cellStyle name="normálne 3 4 2 2 2" xfId="401"/>
    <cellStyle name="normálne 3 4 2 2 3" xfId="538"/>
    <cellStyle name="normálne 3 4 2 2 4" xfId="678"/>
    <cellStyle name="normálne 3 4 2 2 5" xfId="844"/>
    <cellStyle name="normálne 3 4 2 2 6" xfId="981"/>
    <cellStyle name="normálne 3 4 2 3" xfId="328"/>
    <cellStyle name="normálne 3 4 2 4" xfId="466"/>
    <cellStyle name="normálne 3 4 2 5" xfId="607"/>
    <cellStyle name="normálne 3 4 2 6" xfId="772"/>
    <cellStyle name="normálne 3 4 2 7" xfId="965"/>
    <cellStyle name="normálne 3 4 3" xfId="186"/>
    <cellStyle name="normálne 3 4 3 2" xfId="366"/>
    <cellStyle name="normálne 3 4 3 3" xfId="503"/>
    <cellStyle name="normálne 3 4 3 4" xfId="643"/>
    <cellStyle name="normálne 3 4 3 5" xfId="809"/>
    <cellStyle name="normálne 3 4 3 6" xfId="932"/>
    <cellStyle name="normálne 3 4 4" xfId="287"/>
    <cellStyle name="normálne 3 4 5" xfId="430"/>
    <cellStyle name="normálne 3 4 6" xfId="572"/>
    <cellStyle name="normálne 3 4 7" xfId="735"/>
    <cellStyle name="normálne 3 4 8" xfId="949"/>
    <cellStyle name="normálne 3 5" xfId="125"/>
    <cellStyle name="normálne 3 5 2" xfId="199"/>
    <cellStyle name="normálne 3 5 2 2" xfId="379"/>
    <cellStyle name="normálne 3 5 2 3" xfId="516"/>
    <cellStyle name="normálne 3 5 2 4" xfId="656"/>
    <cellStyle name="normálne 3 5 2 5" xfId="822"/>
    <cellStyle name="normálne 3 5 2 6" xfId="871"/>
    <cellStyle name="normálne 3 5 3" xfId="306"/>
    <cellStyle name="normálne 3 5 4" xfId="444"/>
    <cellStyle name="normálne 3 5 5" xfId="585"/>
    <cellStyle name="normálne 3 5 6" xfId="750"/>
    <cellStyle name="normálne 3 5 7" xfId="976"/>
    <cellStyle name="normálne 3 6" xfId="164"/>
    <cellStyle name="normálne 3 6 2" xfId="344"/>
    <cellStyle name="normálne 3 6 3" xfId="481"/>
    <cellStyle name="normálne 3 6 4" xfId="621"/>
    <cellStyle name="normálne 3 6 5" xfId="787"/>
    <cellStyle name="normálne 3 6 6" xfId="1002"/>
    <cellStyle name="normálne 3 7" xfId="235"/>
    <cellStyle name="normálne 3 7 2" xfId="414"/>
    <cellStyle name="normálne 3 7 3" xfId="551"/>
    <cellStyle name="normálne 3 7 4" xfId="690"/>
    <cellStyle name="normálne 3 7 5" xfId="856"/>
    <cellStyle name="normálne 3 7 6" xfId="874"/>
    <cellStyle name="normálne 3 8" xfId="252"/>
    <cellStyle name="normálne 3 9" xfId="290"/>
    <cellStyle name="normálne 30" xfId="1120"/>
    <cellStyle name="normálne 31" xfId="1047"/>
    <cellStyle name="normálne 32" xfId="1112"/>
    <cellStyle name="normálne 33" xfId="54"/>
    <cellStyle name="normálne 33 10" xfId="705"/>
    <cellStyle name="normálne 33 11" xfId="719"/>
    <cellStyle name="normálne 33 2" xfId="74"/>
    <cellStyle name="normálne 33 2 10" xfId="944"/>
    <cellStyle name="normálne 33 2 2" xfId="88"/>
    <cellStyle name="normálne 33 2 2 2" xfId="140"/>
    <cellStyle name="normálne 33 2 2 2 2" xfId="214"/>
    <cellStyle name="normálne 33 2 2 2 2 2" xfId="394"/>
    <cellStyle name="normálne 33 2 2 2 2 3" xfId="531"/>
    <cellStyle name="normálne 33 2 2 2 2 4" xfId="671"/>
    <cellStyle name="normálne 33 2 2 2 2 5" xfId="837"/>
    <cellStyle name="normálne 33 2 2 2 2 6" xfId="904"/>
    <cellStyle name="normálne 33 2 2 2 3" xfId="321"/>
    <cellStyle name="normálne 33 2 2 2 4" xfId="459"/>
    <cellStyle name="normálne 33 2 2 2 5" xfId="600"/>
    <cellStyle name="normálne 33 2 2 2 6" xfId="765"/>
    <cellStyle name="normálne 33 2 2 2 7" xfId="998"/>
    <cellStyle name="normálne 33 2 2 3" xfId="179"/>
    <cellStyle name="normálne 33 2 2 3 2" xfId="359"/>
    <cellStyle name="normálne 33 2 2 3 3" xfId="496"/>
    <cellStyle name="normálne 33 2 2 3 4" xfId="636"/>
    <cellStyle name="normálne 33 2 2 3 5" xfId="802"/>
    <cellStyle name="normálne 33 2 2 3 6" xfId="984"/>
    <cellStyle name="normálne 33 2 2 4" xfId="274"/>
    <cellStyle name="normálne 33 2 2 5" xfId="419"/>
    <cellStyle name="normálne 33 2 2 6" xfId="565"/>
    <cellStyle name="normálne 33 2 2 7" xfId="726"/>
    <cellStyle name="normálne 33 2 2 8" xfId="908"/>
    <cellStyle name="normálne 33 2 3" xfId="112"/>
    <cellStyle name="normálne 33 2 3 2" xfId="151"/>
    <cellStyle name="normálne 33 2 3 2 2" xfId="225"/>
    <cellStyle name="normálne 33 2 3 2 2 2" xfId="405"/>
    <cellStyle name="normálne 33 2 3 2 2 3" xfId="542"/>
    <cellStyle name="normálne 33 2 3 2 2 4" xfId="682"/>
    <cellStyle name="normálne 33 2 3 2 2 5" xfId="848"/>
    <cellStyle name="normálne 33 2 3 2 2 6" xfId="959"/>
    <cellStyle name="normálne 33 2 3 2 3" xfId="332"/>
    <cellStyle name="normálne 33 2 3 2 4" xfId="470"/>
    <cellStyle name="normálne 33 2 3 2 5" xfId="611"/>
    <cellStyle name="normálne 33 2 3 2 6" xfId="776"/>
    <cellStyle name="normálne 33 2 3 2 7" xfId="885"/>
    <cellStyle name="normálne 33 2 3 3" xfId="190"/>
    <cellStyle name="normálne 33 2 3 3 2" xfId="370"/>
    <cellStyle name="normálne 33 2 3 3 3" xfId="507"/>
    <cellStyle name="normálne 33 2 3 3 4" xfId="647"/>
    <cellStyle name="normálne 33 2 3 3 5" xfId="813"/>
    <cellStyle name="normálne 33 2 3 3 6" xfId="911"/>
    <cellStyle name="normálne 33 2 3 4" xfId="294"/>
    <cellStyle name="normálne 33 2 3 5" xfId="434"/>
    <cellStyle name="normálne 33 2 3 6" xfId="576"/>
    <cellStyle name="normálne 33 2 3 7" xfId="740"/>
    <cellStyle name="normálne 33 2 3 8" xfId="916"/>
    <cellStyle name="normálne 33 2 4" xfId="129"/>
    <cellStyle name="normálne 33 2 4 2" xfId="203"/>
    <cellStyle name="normálne 33 2 4 2 2" xfId="383"/>
    <cellStyle name="normálne 33 2 4 2 3" xfId="520"/>
    <cellStyle name="normálne 33 2 4 2 4" xfId="660"/>
    <cellStyle name="normálne 33 2 4 2 5" xfId="826"/>
    <cellStyle name="normálne 33 2 4 2 6" xfId="988"/>
    <cellStyle name="normálne 33 2 4 3" xfId="310"/>
    <cellStyle name="normálne 33 2 4 4" xfId="448"/>
    <cellStyle name="normálne 33 2 4 5" xfId="589"/>
    <cellStyle name="normálne 33 2 4 6" xfId="754"/>
    <cellStyle name="normálne 33 2 4 7" xfId="953"/>
    <cellStyle name="normálne 33 2 5" xfId="168"/>
    <cellStyle name="normálne 33 2 5 2" xfId="348"/>
    <cellStyle name="normálne 33 2 5 3" xfId="485"/>
    <cellStyle name="normálne 33 2 5 4" xfId="625"/>
    <cellStyle name="normálne 33 2 5 5" xfId="791"/>
    <cellStyle name="normálne 33 2 5 6" xfId="942"/>
    <cellStyle name="normálne 33 2 6" xfId="261"/>
    <cellStyle name="normálne 33 2 7" xfId="249"/>
    <cellStyle name="normálne 33 2 8" xfId="554"/>
    <cellStyle name="normálne 33 2 9" xfId="717"/>
    <cellStyle name="normálne 33 3" xfId="82"/>
    <cellStyle name="normálne 33 3 2" xfId="134"/>
    <cellStyle name="normálne 33 3 2 2" xfId="208"/>
    <cellStyle name="normálne 33 3 2 2 2" xfId="388"/>
    <cellStyle name="normálne 33 3 2 2 3" xfId="525"/>
    <cellStyle name="normálne 33 3 2 2 4" xfId="665"/>
    <cellStyle name="normálne 33 3 2 2 5" xfId="831"/>
    <cellStyle name="normálne 33 3 2 2 6" xfId="919"/>
    <cellStyle name="normálne 33 3 2 3" xfId="315"/>
    <cellStyle name="normálne 33 3 2 4" xfId="453"/>
    <cellStyle name="normálne 33 3 2 5" xfId="594"/>
    <cellStyle name="normálne 33 3 2 6" xfId="759"/>
    <cellStyle name="normálne 33 3 2 7" xfId="1015"/>
    <cellStyle name="normálne 33 3 3" xfId="173"/>
    <cellStyle name="normálne 33 3 3 2" xfId="353"/>
    <cellStyle name="normálne 33 3 3 3" xfId="490"/>
    <cellStyle name="normálne 33 3 3 4" xfId="630"/>
    <cellStyle name="normálne 33 3 3 5" xfId="796"/>
    <cellStyle name="normálne 33 3 3 6" xfId="928"/>
    <cellStyle name="normálne 33 3 4" xfId="268"/>
    <cellStyle name="normálne 33 3 5" xfId="285"/>
    <cellStyle name="normálne 33 3 6" xfId="559"/>
    <cellStyle name="normálne 33 3 7" xfId="721"/>
    <cellStyle name="normálne 33 3 8" xfId="977"/>
    <cellStyle name="normálne 33 4" xfId="98"/>
    <cellStyle name="normálne 33 4 2" xfId="145"/>
    <cellStyle name="normálne 33 4 2 2" xfId="219"/>
    <cellStyle name="normálne 33 4 2 2 2" xfId="399"/>
    <cellStyle name="normálne 33 4 2 2 3" xfId="536"/>
    <cellStyle name="normálne 33 4 2 2 4" xfId="676"/>
    <cellStyle name="normálne 33 4 2 2 5" xfId="842"/>
    <cellStyle name="normálne 33 4 2 2 6" xfId="964"/>
    <cellStyle name="normálne 33 4 2 3" xfId="326"/>
    <cellStyle name="normálne 33 4 2 4" xfId="464"/>
    <cellStyle name="normálne 33 4 2 5" xfId="605"/>
    <cellStyle name="normálne 33 4 2 6" xfId="770"/>
    <cellStyle name="normálne 33 4 2 7" xfId="892"/>
    <cellStyle name="normálne 33 4 3" xfId="184"/>
    <cellStyle name="normálne 33 4 3 2" xfId="364"/>
    <cellStyle name="normálne 33 4 3 3" xfId="501"/>
    <cellStyle name="normálne 33 4 3 4" xfId="641"/>
    <cellStyle name="normálne 33 4 3 5" xfId="807"/>
    <cellStyle name="normálne 33 4 3 6" xfId="915"/>
    <cellStyle name="normálne 33 4 4" xfId="283"/>
    <cellStyle name="normálne 33 4 5" xfId="427"/>
    <cellStyle name="normálne 33 4 6" xfId="570"/>
    <cellStyle name="normálne 33 4 7" xfId="733"/>
    <cellStyle name="normálne 33 4 8" xfId="713"/>
    <cellStyle name="normálne 33 5" xfId="123"/>
    <cellStyle name="normálne 33 5 2" xfId="197"/>
    <cellStyle name="normálne 33 5 2 2" xfId="377"/>
    <cellStyle name="normálne 33 5 2 3" xfId="514"/>
    <cellStyle name="normálne 33 5 2 4" xfId="654"/>
    <cellStyle name="normálne 33 5 2 5" xfId="820"/>
    <cellStyle name="normálne 33 5 2 6" xfId="975"/>
    <cellStyle name="normálne 33 5 3" xfId="304"/>
    <cellStyle name="normálne 33 5 4" xfId="442"/>
    <cellStyle name="normálne 33 5 5" xfId="583"/>
    <cellStyle name="normálne 33 5 6" xfId="748"/>
    <cellStyle name="normálne 33 5 7" xfId="971"/>
    <cellStyle name="normálne 33 6" xfId="162"/>
    <cellStyle name="normálne 33 6 2" xfId="342"/>
    <cellStyle name="normálne 33 6 3" xfId="479"/>
    <cellStyle name="normálne 33 6 4" xfId="619"/>
    <cellStyle name="normálne 33 6 5" xfId="785"/>
    <cellStyle name="normálne 33 6 6" xfId="926"/>
    <cellStyle name="normálne 33 7" xfId="245"/>
    <cellStyle name="normálne 33 8" xfId="293"/>
    <cellStyle name="normálne 33 9" xfId="550"/>
    <cellStyle name="normálne 34" xfId="707"/>
    <cellStyle name="normálne 35" xfId="1255"/>
    <cellStyle name="normálne 35 2" xfId="1400"/>
    <cellStyle name="normálne 36" xfId="1253"/>
    <cellStyle name="normálne 37" xfId="1140"/>
    <cellStyle name="normálne 38" xfId="1139"/>
    <cellStyle name="normálne 39" xfId="1147"/>
    <cellStyle name="normálne 4" xfId="64"/>
    <cellStyle name="normálne 4 10" xfId="697"/>
    <cellStyle name="normálne 4 10 2" xfId="1031"/>
    <cellStyle name="normálne 4 10 3" xfId="1124"/>
    <cellStyle name="normálne 4 11" xfId="1039"/>
    <cellStyle name="normálne 4 12" xfId="1101"/>
    <cellStyle name="normálne 4 13" xfId="1090"/>
    <cellStyle name="normálne 4 14" xfId="1080"/>
    <cellStyle name="normálne 4 15" xfId="1046"/>
    <cellStyle name="normálne 4 16" xfId="1069"/>
    <cellStyle name="normálne 4 17" xfId="1074"/>
    <cellStyle name="normálne 4 18" xfId="1091"/>
    <cellStyle name="normálne 4 19" xfId="857"/>
    <cellStyle name="normálne 4 2" xfId="78"/>
    <cellStyle name="normálne 4 2 10" xfId="1010"/>
    <cellStyle name="normálne 4 2 2" xfId="91"/>
    <cellStyle name="normálne 4 2 2 2" xfId="143"/>
    <cellStyle name="normálne 4 2 2 2 2" xfId="217"/>
    <cellStyle name="normálne 4 2 2 2 2 2" xfId="397"/>
    <cellStyle name="normálne 4 2 2 2 2 3" xfId="534"/>
    <cellStyle name="normálne 4 2 2 2 2 4" xfId="674"/>
    <cellStyle name="normálne 4 2 2 2 2 5" xfId="840"/>
    <cellStyle name="normálne 4 2 2 2 2 6" xfId="891"/>
    <cellStyle name="normálne 4 2 2 2 3" xfId="324"/>
    <cellStyle name="normálne 4 2 2 2 4" xfId="462"/>
    <cellStyle name="normálne 4 2 2 2 5" xfId="603"/>
    <cellStyle name="normálne 4 2 2 2 6" xfId="768"/>
    <cellStyle name="normálne 4 2 2 2 7" xfId="987"/>
    <cellStyle name="normálne 4 2 2 3" xfId="182"/>
    <cellStyle name="normálne 4 2 2 3 2" xfId="362"/>
    <cellStyle name="normálne 4 2 2 3 3" xfId="499"/>
    <cellStyle name="normálne 4 2 2 3 4" xfId="639"/>
    <cellStyle name="normálne 4 2 2 3 5" xfId="805"/>
    <cellStyle name="normálne 4 2 2 3 6" xfId="1009"/>
    <cellStyle name="normálne 4 2 2 4" xfId="277"/>
    <cellStyle name="normálne 4 2 2 5" xfId="422"/>
    <cellStyle name="normálne 4 2 2 6" xfId="568"/>
    <cellStyle name="normálne 4 2 2 7" xfId="729"/>
    <cellStyle name="normálne 4 2 2 8" xfId="895"/>
    <cellStyle name="normálne 4 2 3" xfId="116"/>
    <cellStyle name="normálne 4 2 3 2" xfId="154"/>
    <cellStyle name="normálne 4 2 3 2 2" xfId="228"/>
    <cellStyle name="normálne 4 2 3 2 2 2" xfId="408"/>
    <cellStyle name="normálne 4 2 3 2 2 3" xfId="545"/>
    <cellStyle name="normálne 4 2 3 2 2 4" xfId="685"/>
    <cellStyle name="normálne 4 2 3 2 2 5" xfId="851"/>
    <cellStyle name="normálne 4 2 3 2 2 6" xfId="945"/>
    <cellStyle name="normálne 4 2 3 2 3" xfId="335"/>
    <cellStyle name="normálne 4 2 3 2 4" xfId="473"/>
    <cellStyle name="normálne 4 2 3 2 5" xfId="614"/>
    <cellStyle name="normálne 4 2 3 2 6" xfId="779"/>
    <cellStyle name="normálne 4 2 3 2 7" xfId="914"/>
    <cellStyle name="normálne 4 2 3 3" xfId="193"/>
    <cellStyle name="normálne 4 2 3 3 2" xfId="373"/>
    <cellStyle name="normálne 4 2 3 3 3" xfId="510"/>
    <cellStyle name="normálne 4 2 3 3 4" xfId="650"/>
    <cellStyle name="normálne 4 2 3 3 5" xfId="816"/>
    <cellStyle name="normálne 4 2 3 3 6" xfId="897"/>
    <cellStyle name="normálne 4 2 3 4" xfId="298"/>
    <cellStyle name="normálne 4 2 3 5" xfId="437"/>
    <cellStyle name="normálne 4 2 3 6" xfId="579"/>
    <cellStyle name="normálne 4 2 3 7" xfId="743"/>
    <cellStyle name="normálne 4 2 3 8" xfId="1005"/>
    <cellStyle name="normálne 4 2 4" xfId="132"/>
    <cellStyle name="normálne 4 2 4 2" xfId="206"/>
    <cellStyle name="normálne 4 2 4 2 2" xfId="386"/>
    <cellStyle name="normálne 4 2 4 2 3" xfId="523"/>
    <cellStyle name="normálne 4 2 4 2 4" xfId="663"/>
    <cellStyle name="normálne 4 2 4 2 5" xfId="829"/>
    <cellStyle name="normálne 4 2 4 2 6" xfId="1014"/>
    <cellStyle name="normálne 4 2 4 3" xfId="313"/>
    <cellStyle name="normálne 4 2 4 4" xfId="451"/>
    <cellStyle name="normálne 4 2 4 5" xfId="592"/>
    <cellStyle name="normálne 4 2 4 6" xfId="757"/>
    <cellStyle name="normálne 4 2 4 7" xfId="940"/>
    <cellStyle name="normálne 4 2 5" xfId="171"/>
    <cellStyle name="normálne 4 2 5 2" xfId="351"/>
    <cellStyle name="normálne 4 2 5 3" xfId="488"/>
    <cellStyle name="normálne 4 2 5 4" xfId="628"/>
    <cellStyle name="normálne 4 2 5 5" xfId="794"/>
    <cellStyle name="normálne 4 2 5 6" xfId="969"/>
    <cellStyle name="normálne 4 2 6" xfId="264"/>
    <cellStyle name="normálne 4 2 7" xfId="303"/>
    <cellStyle name="normálne 4 2 8" xfId="557"/>
    <cellStyle name="normálne 4 2 9" xfId="711"/>
    <cellStyle name="normálne 4 20" xfId="1136"/>
    <cellStyle name="normálne 4 21" xfId="1142"/>
    <cellStyle name="normálne 4 22" xfId="1149"/>
    <cellStyle name="normálne 4 23" xfId="1156"/>
    <cellStyle name="normálne 4 24" xfId="1163"/>
    <cellStyle name="normálne 4 25" xfId="1170"/>
    <cellStyle name="normálne 4 26" xfId="1176"/>
    <cellStyle name="normálne 4 27" xfId="1182"/>
    <cellStyle name="normálne 4 28" xfId="1188"/>
    <cellStyle name="normálne 4 29" xfId="1194"/>
    <cellStyle name="normálne 4 3" xfId="85"/>
    <cellStyle name="normálne 4 3 2" xfId="137"/>
    <cellStyle name="normálne 4 3 2 2" xfId="211"/>
    <cellStyle name="normálne 4 3 2 2 2" xfId="391"/>
    <cellStyle name="normálne 4 3 2 2 3" xfId="528"/>
    <cellStyle name="normálne 4 3 2 2 4" xfId="668"/>
    <cellStyle name="normálne 4 3 2 2 5" xfId="834"/>
    <cellStyle name="normálne 4 3 2 2 6" xfId="868"/>
    <cellStyle name="normálne 4 3 2 3" xfId="318"/>
    <cellStyle name="normálne 4 3 2 4" xfId="456"/>
    <cellStyle name="normálne 4 3 2 5" xfId="597"/>
    <cellStyle name="normálne 4 3 2 6" xfId="762"/>
    <cellStyle name="normálne 4 3 2 7" xfId="974"/>
    <cellStyle name="normálne 4 3 3" xfId="176"/>
    <cellStyle name="normálne 4 3 3 2" xfId="356"/>
    <cellStyle name="normálne 4 3 3 3" xfId="493"/>
    <cellStyle name="normálne 4 3 3 4" xfId="633"/>
    <cellStyle name="normálne 4 3 3 5" xfId="799"/>
    <cellStyle name="normálne 4 3 3 6" xfId="996"/>
    <cellStyle name="normálne 4 3 4" xfId="271"/>
    <cellStyle name="normálne 4 3 5" xfId="286"/>
    <cellStyle name="normálne 4 3 6" xfId="562"/>
    <cellStyle name="normálne 4 3 7" xfId="724"/>
    <cellStyle name="normálne 4 3 8" xfId="1001"/>
    <cellStyle name="normálne 4 30" xfId="1310"/>
    <cellStyle name="normálne 4 4" xfId="105"/>
    <cellStyle name="normálne 4 4 2" xfId="148"/>
    <cellStyle name="normálne 4 4 2 2" xfId="222"/>
    <cellStyle name="normálne 4 4 2 2 2" xfId="402"/>
    <cellStyle name="normálne 4 4 2 2 3" xfId="539"/>
    <cellStyle name="normálne 4 4 2 2 4" xfId="679"/>
    <cellStyle name="normálne 4 4 2 2 5" xfId="845"/>
    <cellStyle name="normálne 4 4 2 2 6" xfId="934"/>
    <cellStyle name="normálne 4 4 2 3" xfId="329"/>
    <cellStyle name="normálne 4 4 2 4" xfId="467"/>
    <cellStyle name="normálne 4 4 2 5" xfId="608"/>
    <cellStyle name="normálne 4 4 2 6" xfId="773"/>
    <cellStyle name="normálne 4 4 2 7" xfId="918"/>
    <cellStyle name="normálne 4 4 3" xfId="187"/>
    <cellStyle name="normálne 4 4 3 2" xfId="367"/>
    <cellStyle name="normálne 4 4 3 3" xfId="504"/>
    <cellStyle name="normálne 4 4 3 4" xfId="644"/>
    <cellStyle name="normálne 4 4 3 5" xfId="810"/>
    <cellStyle name="normálne 4 4 3 6" xfId="879"/>
    <cellStyle name="normálne 4 4 4" xfId="288"/>
    <cellStyle name="normálne 4 4 5" xfId="431"/>
    <cellStyle name="normálne 4 4 6" xfId="573"/>
    <cellStyle name="normálne 4 4 7" xfId="736"/>
    <cellStyle name="normálne 4 4 8" xfId="903"/>
    <cellStyle name="normálne 4 5" xfId="126"/>
    <cellStyle name="normálne 4 5 2" xfId="200"/>
    <cellStyle name="normálne 4 5 2 2" xfId="380"/>
    <cellStyle name="normálne 4 5 2 3" xfId="517"/>
    <cellStyle name="normálne 4 5 2 4" xfId="657"/>
    <cellStyle name="normálne 4 5 2 5" xfId="823"/>
    <cellStyle name="normálne 4 5 2 6" xfId="999"/>
    <cellStyle name="normálne 4 5 3" xfId="307"/>
    <cellStyle name="normálne 4 5 4" xfId="445"/>
    <cellStyle name="normálne 4 5 5" xfId="586"/>
    <cellStyle name="normálne 4 5 6" xfId="751"/>
    <cellStyle name="normálne 4 5 7" xfId="861"/>
    <cellStyle name="normálne 4 6" xfId="165"/>
    <cellStyle name="normálne 4 6 2" xfId="345"/>
    <cellStyle name="normálne 4 6 3" xfId="482"/>
    <cellStyle name="normálne 4 6 4" xfId="622"/>
    <cellStyle name="normálne 4 6 5" xfId="788"/>
    <cellStyle name="normálne 4 6 6" xfId="956"/>
    <cellStyle name="normálne 4 7" xfId="253"/>
    <cellStyle name="normálne 4 8" xfId="256"/>
    <cellStyle name="normálne 4 9" xfId="425"/>
    <cellStyle name="normálne 40" xfId="1154"/>
    <cellStyle name="normálne 41" xfId="1161"/>
    <cellStyle name="normálne 42" xfId="1168"/>
    <cellStyle name="normálne 43" xfId="1254"/>
    <cellStyle name="normálne 44" xfId="1333"/>
    <cellStyle name="normálne 45" xfId="1246"/>
    <cellStyle name="normálne 46" xfId="1245"/>
    <cellStyle name="normálne 47" xfId="1336"/>
    <cellStyle name="normálne 48" xfId="1335"/>
    <cellStyle name="normálne 49" xfId="1410"/>
    <cellStyle name="normálne 5" xfId="55"/>
    <cellStyle name="normálne 5 2" xfId="246"/>
    <cellStyle name="normálne 5 2 2" xfId="860"/>
    <cellStyle name="normálne 5 2 2 2" xfId="1366"/>
    <cellStyle name="normálne 5 2 3" xfId="883"/>
    <cellStyle name="normálne 5 2 3 2" xfId="1373"/>
    <cellStyle name="normálne 5 2 4" xfId="1344"/>
    <cellStyle name="normálne 5 3" xfId="260"/>
    <cellStyle name="normálne 5 3 2" xfId="867"/>
    <cellStyle name="normálne 5 3 2 2" xfId="1369"/>
    <cellStyle name="normálne 5 3 3" xfId="1003"/>
    <cellStyle name="normálne 5 3 3 2" xfId="1384"/>
    <cellStyle name="normálne 5 3 4" xfId="1347"/>
    <cellStyle name="normálne 5 4" xfId="478"/>
    <cellStyle name="normálne 5 4 2" xfId="947"/>
    <cellStyle name="normálne 5 4 2 2" xfId="1381"/>
    <cellStyle name="normálne 5 4 3" xfId="927"/>
    <cellStyle name="normálne 5 4 3 2" xfId="1377"/>
    <cellStyle name="normálne 5 4 4" xfId="1354"/>
    <cellStyle name="normálne 5 5" xfId="706"/>
    <cellStyle name="normálne 5 5 2" xfId="1360"/>
    <cellStyle name="normálne 5 6" xfId="882"/>
    <cellStyle name="normálne 5 6 2" xfId="1372"/>
    <cellStyle name="normálne 5 7" xfId="1338"/>
    <cellStyle name="normálne 5 8" xfId="1309"/>
    <cellStyle name="normálne 6" xfId="65"/>
    <cellStyle name="normálne 6 10" xfId="698"/>
    <cellStyle name="normálne 6 10 2" xfId="1032"/>
    <cellStyle name="normálne 6 10 3" xfId="1125"/>
    <cellStyle name="normálne 6 11" xfId="1065"/>
    <cellStyle name="normálne 6 12" xfId="1081"/>
    <cellStyle name="normálne 6 13" xfId="1100"/>
    <cellStyle name="normálne 6 14" xfId="1060"/>
    <cellStyle name="normálne 6 15" xfId="1057"/>
    <cellStyle name="normálne 6 16" xfId="1116"/>
    <cellStyle name="normálne 6 17" xfId="1105"/>
    <cellStyle name="normálne 6 18" xfId="1110"/>
    <cellStyle name="normálne 6 19" xfId="784"/>
    <cellStyle name="normálne 6 2" xfId="79"/>
    <cellStyle name="normálne 6 2 10" xfId="963"/>
    <cellStyle name="normálne 6 2 2" xfId="92"/>
    <cellStyle name="normálne 6 2 2 2" xfId="144"/>
    <cellStyle name="normálne 6 2 2 2 2" xfId="218"/>
    <cellStyle name="normálne 6 2 2 2 2 2" xfId="398"/>
    <cellStyle name="normálne 6 2 2 2 2 3" xfId="535"/>
    <cellStyle name="normálne 6 2 2 2 2 4" xfId="675"/>
    <cellStyle name="normálne 6 2 2 2 2 5" xfId="841"/>
    <cellStyle name="normálne 6 2 2 2 2 6" xfId="1011"/>
    <cellStyle name="normálne 6 2 2 2 3" xfId="325"/>
    <cellStyle name="normálne 6 2 2 2 4" xfId="463"/>
    <cellStyle name="normálne 6 2 2 2 5" xfId="604"/>
    <cellStyle name="normálne 6 2 2 2 6" xfId="769"/>
    <cellStyle name="normálne 6 2 2 2 7" xfId="938"/>
    <cellStyle name="normálne 6 2 2 3" xfId="183"/>
    <cellStyle name="normálne 6 2 2 3 2" xfId="363"/>
    <cellStyle name="normálne 6 2 2 3 3" xfId="500"/>
    <cellStyle name="normálne 6 2 2 3 4" xfId="640"/>
    <cellStyle name="normálne 6 2 2 3 5" xfId="806"/>
    <cellStyle name="normálne 6 2 2 3 6" xfId="961"/>
    <cellStyle name="normálne 6 2 2 4" xfId="278"/>
    <cellStyle name="normálne 6 2 2 5" xfId="423"/>
    <cellStyle name="normálne 6 2 2 6" xfId="569"/>
    <cellStyle name="normálne 6 2 2 7" xfId="730"/>
    <cellStyle name="normálne 6 2 2 8" xfId="1016"/>
    <cellStyle name="normálne 6 2 3" xfId="117"/>
    <cellStyle name="normálne 6 2 3 2" xfId="155"/>
    <cellStyle name="normálne 6 2 3 2 2" xfId="229"/>
    <cellStyle name="normálne 6 2 3 2 2 2" xfId="409"/>
    <cellStyle name="normálne 6 2 3 2 2 3" xfId="546"/>
    <cellStyle name="normálne 6 2 3 2 2 4" xfId="686"/>
    <cellStyle name="normálne 6 2 3 2 2 5" xfId="852"/>
    <cellStyle name="normálne 6 2 3 2 2 6" xfId="899"/>
    <cellStyle name="normálne 6 2 3 2 3" xfId="336"/>
    <cellStyle name="normálne 6 2 3 2 4" xfId="474"/>
    <cellStyle name="normálne 6 2 3 2 5" xfId="615"/>
    <cellStyle name="normálne 6 2 3 2 6" xfId="780"/>
    <cellStyle name="normálne 6 2 3 2 7" xfId="995"/>
    <cellStyle name="normálne 6 2 3 3" xfId="194"/>
    <cellStyle name="normálne 6 2 3 3 2" xfId="374"/>
    <cellStyle name="normálne 6 2 3 3 3" xfId="511"/>
    <cellStyle name="normálne 6 2 3 3 4" xfId="651"/>
    <cellStyle name="normálne 6 2 3 3 5" xfId="817"/>
    <cellStyle name="normálne 6 2 3 3 6" xfId="1019"/>
    <cellStyle name="normálne 6 2 3 4" xfId="299"/>
    <cellStyle name="normálne 6 2 3 5" xfId="438"/>
    <cellStyle name="normálne 6 2 3 6" xfId="580"/>
    <cellStyle name="normálne 6 2 3 7" xfId="744"/>
    <cellStyle name="normálne 6 2 3 8" xfId="958"/>
    <cellStyle name="normálne 6 2 4" xfId="133"/>
    <cellStyle name="normálne 6 2 4 2" xfId="207"/>
    <cellStyle name="normálne 6 2 4 2 2" xfId="387"/>
    <cellStyle name="normálne 6 2 4 2 3" xfId="524"/>
    <cellStyle name="normálne 6 2 4 2 4" xfId="664"/>
    <cellStyle name="normálne 6 2 4 2 5" xfId="830"/>
    <cellStyle name="normálne 6 2 4 2 6" xfId="966"/>
    <cellStyle name="normálne 6 2 4 3" xfId="314"/>
    <cellStyle name="normálne 6 2 4 4" xfId="452"/>
    <cellStyle name="normálne 6 2 4 5" xfId="593"/>
    <cellStyle name="normálne 6 2 4 6" xfId="758"/>
    <cellStyle name="normálne 6 2 4 7" xfId="894"/>
    <cellStyle name="normálne 6 2 5" xfId="172"/>
    <cellStyle name="normálne 6 2 5 2" xfId="352"/>
    <cellStyle name="normálne 6 2 5 3" xfId="489"/>
    <cellStyle name="normálne 6 2 5 4" xfId="629"/>
    <cellStyle name="normálne 6 2 5 5" xfId="795"/>
    <cellStyle name="normálne 6 2 5 6" xfId="921"/>
    <cellStyle name="normálne 6 2 6" xfId="265"/>
    <cellStyle name="normálne 6 2 7" xfId="280"/>
    <cellStyle name="normálne 6 2 8" xfId="558"/>
    <cellStyle name="normálne 6 2 9" xfId="712"/>
    <cellStyle name="normálne 6 20" xfId="1135"/>
    <cellStyle name="normálne 6 21" xfId="1143"/>
    <cellStyle name="normálne 6 22" xfId="1150"/>
    <cellStyle name="normálne 6 23" xfId="1157"/>
    <cellStyle name="normálne 6 24" xfId="1164"/>
    <cellStyle name="normálne 6 25" xfId="1171"/>
    <cellStyle name="normálne 6 26" xfId="1177"/>
    <cellStyle name="normálne 6 27" xfId="1183"/>
    <cellStyle name="normálne 6 28" xfId="1189"/>
    <cellStyle name="normálne 6 29" xfId="1195"/>
    <cellStyle name="normálne 6 3" xfId="86"/>
    <cellStyle name="normálne 6 3 2" xfId="138"/>
    <cellStyle name="normálne 6 3 2 2" xfId="212"/>
    <cellStyle name="normálne 6 3 2 2 2" xfId="392"/>
    <cellStyle name="normálne 6 3 2 2 3" xfId="529"/>
    <cellStyle name="normálne 6 3 2 2 4" xfId="669"/>
    <cellStyle name="normálne 6 3 2 2 5" xfId="835"/>
    <cellStyle name="normálne 6 3 2 2 6" xfId="997"/>
    <cellStyle name="normálne 6 3 2 3" xfId="319"/>
    <cellStyle name="normálne 6 3 2 4" xfId="457"/>
    <cellStyle name="normálne 6 3 2 5" xfId="598"/>
    <cellStyle name="normálne 6 3 2 6" xfId="763"/>
    <cellStyle name="normálne 6 3 2 7" xfId="876"/>
    <cellStyle name="normálne 6 3 3" xfId="177"/>
    <cellStyle name="normálne 6 3 3 2" xfId="357"/>
    <cellStyle name="normálne 6 3 3 3" xfId="494"/>
    <cellStyle name="normálne 6 3 3 4" xfId="634"/>
    <cellStyle name="normálne 6 3 3 5" xfId="800"/>
    <cellStyle name="normálne 6 3 3 6" xfId="948"/>
    <cellStyle name="normálne 6 3 4" xfId="272"/>
    <cellStyle name="normálne 6 3 5" xfId="251"/>
    <cellStyle name="normálne 6 3 6" xfId="563"/>
    <cellStyle name="normálne 6 3 7" xfId="725"/>
    <cellStyle name="normálne 6 3 8" xfId="954"/>
    <cellStyle name="normálne 6 30" xfId="1289"/>
    <cellStyle name="normálne 6 4" xfId="106"/>
    <cellStyle name="normálne 6 4 2" xfId="149"/>
    <cellStyle name="normálne 6 4 2 2" xfId="223"/>
    <cellStyle name="normálne 6 4 2 2 2" xfId="403"/>
    <cellStyle name="normálne 6 4 2 2 3" xfId="540"/>
    <cellStyle name="normálne 6 4 2 2 4" xfId="680"/>
    <cellStyle name="normálne 6 4 2 2 5" xfId="846"/>
    <cellStyle name="normálne 6 4 2 2 6" xfId="884"/>
    <cellStyle name="normálne 6 4 2 3" xfId="330"/>
    <cellStyle name="normálne 6 4 2 4" xfId="468"/>
    <cellStyle name="normálne 6 4 2 5" xfId="609"/>
    <cellStyle name="normálne 6 4 2 6" xfId="774"/>
    <cellStyle name="normálne 6 4 2 7" xfId="982"/>
    <cellStyle name="normálne 6 4 3" xfId="188"/>
    <cellStyle name="normálne 6 4 3 2" xfId="368"/>
    <cellStyle name="normálne 6 4 3 3" xfId="505"/>
    <cellStyle name="normálne 6 4 3 4" xfId="645"/>
    <cellStyle name="normálne 6 4 3 5" xfId="811"/>
    <cellStyle name="normálne 6 4 3 6" xfId="1004"/>
    <cellStyle name="normálne 6 4 4" xfId="289"/>
    <cellStyle name="normálne 6 4 5" xfId="432"/>
    <cellStyle name="normálne 6 4 6" xfId="574"/>
    <cellStyle name="normálne 6 4 7" xfId="737"/>
    <cellStyle name="normálne 6 4 8" xfId="985"/>
    <cellStyle name="normálne 6 5" xfId="127"/>
    <cellStyle name="normálne 6 5 2" xfId="201"/>
    <cellStyle name="normálne 6 5 2 2" xfId="381"/>
    <cellStyle name="normálne 6 5 2 3" xfId="518"/>
    <cellStyle name="normálne 6 5 2 4" xfId="658"/>
    <cellStyle name="normálne 6 5 2 5" xfId="824"/>
    <cellStyle name="normálne 6 5 2 6" xfId="952"/>
    <cellStyle name="normálne 6 5 3" xfId="308"/>
    <cellStyle name="normálne 6 5 4" xfId="446"/>
    <cellStyle name="normálne 6 5 5" xfId="587"/>
    <cellStyle name="normálne 6 5 6" xfId="752"/>
    <cellStyle name="normálne 6 5 7" xfId="872"/>
    <cellStyle name="normálne 6 6" xfId="166"/>
    <cellStyle name="normálne 6 6 2" xfId="346"/>
    <cellStyle name="normálne 6 6 3" xfId="483"/>
    <cellStyle name="normálne 6 6 4" xfId="623"/>
    <cellStyle name="normálne 6 6 5" xfId="789"/>
    <cellStyle name="normálne 6 6 6" xfId="910"/>
    <cellStyle name="normálne 6 7" xfId="254"/>
    <cellStyle name="normálne 6 8" xfId="417"/>
    <cellStyle name="normálne 6 9" xfId="266"/>
    <cellStyle name="normálne 7" xfId="67"/>
    <cellStyle name="normálne 7 2" xfId="107"/>
    <cellStyle name="normálne 7 3" xfId="1403"/>
    <cellStyle name="normálne 8" xfId="71"/>
    <cellStyle name="normálne 8 2" xfId="109"/>
    <cellStyle name="normálne 8 3" xfId="1277"/>
    <cellStyle name="normálne 9" xfId="68"/>
    <cellStyle name="normálne 9 10" xfId="1106"/>
    <cellStyle name="normálne 9 11" xfId="1113"/>
    <cellStyle name="normálne 9 12" xfId="1115"/>
    <cellStyle name="normálne 9 13" xfId="1117"/>
    <cellStyle name="normálne 9 14" xfId="1119"/>
    <cellStyle name="normálne 9 15" xfId="1043"/>
    <cellStyle name="normálne 9 16" xfId="1095"/>
    <cellStyle name="normálne 9 17" xfId="1107"/>
    <cellStyle name="normálne 9 18" xfId="720"/>
    <cellStyle name="normálne 9 19" xfId="1133"/>
    <cellStyle name="normálne 9 2" xfId="87"/>
    <cellStyle name="normálne 9 2 2" xfId="139"/>
    <cellStyle name="normálne 9 2 2 2" xfId="213"/>
    <cellStyle name="normálne 9 2 2 2 2" xfId="393"/>
    <cellStyle name="normálne 9 2 2 2 3" xfId="530"/>
    <cellStyle name="normálne 9 2 2 2 4" xfId="670"/>
    <cellStyle name="normálne 9 2 2 2 5" xfId="836"/>
    <cellStyle name="normálne 9 2 2 2 6" xfId="950"/>
    <cellStyle name="normálne 9 2 2 3" xfId="320"/>
    <cellStyle name="normálne 9 2 2 4" xfId="458"/>
    <cellStyle name="normálne 9 2 2 5" xfId="599"/>
    <cellStyle name="normálne 9 2 2 6" xfId="764"/>
    <cellStyle name="normálne 9 2 2 7" xfId="869"/>
    <cellStyle name="normálne 9 2 3" xfId="178"/>
    <cellStyle name="normálne 9 2 3 2" xfId="358"/>
    <cellStyle name="normálne 9 2 3 3" xfId="495"/>
    <cellStyle name="normálne 9 2 3 4" xfId="635"/>
    <cellStyle name="normálne 9 2 3 5" xfId="801"/>
    <cellStyle name="normálne 9 2 3 6" xfId="902"/>
    <cellStyle name="normálne 9 2 4" xfId="273"/>
    <cellStyle name="normálne 9 2 5" xfId="418"/>
    <cellStyle name="normálne 9 2 6" xfId="564"/>
    <cellStyle name="normálne 9 2 7" xfId="714"/>
    <cellStyle name="normálne 9 2 8" xfId="933"/>
    <cellStyle name="normálne 9 20" xfId="1146"/>
    <cellStyle name="normálne 9 21" xfId="1153"/>
    <cellStyle name="normálne 9 22" xfId="1160"/>
    <cellStyle name="normálne 9 23" xfId="1167"/>
    <cellStyle name="normálne 9 24" xfId="1174"/>
    <cellStyle name="normálne 9 25" xfId="1180"/>
    <cellStyle name="normálne 9 26" xfId="1186"/>
    <cellStyle name="normálne 9 27" xfId="1192"/>
    <cellStyle name="normálne 9 28" xfId="1198"/>
    <cellStyle name="normálne 9 3" xfId="108"/>
    <cellStyle name="normálne 9 3 2" xfId="150"/>
    <cellStyle name="normálne 9 3 2 2" xfId="224"/>
    <cellStyle name="normálne 9 3 2 2 2" xfId="404"/>
    <cellStyle name="normálne 9 3 2 2 3" xfId="541"/>
    <cellStyle name="normálne 9 3 2 2 4" xfId="681"/>
    <cellStyle name="normálne 9 3 2 2 5" xfId="847"/>
    <cellStyle name="normálne 9 3 2 2 6" xfId="1007"/>
    <cellStyle name="normálne 9 3 2 3" xfId="331"/>
    <cellStyle name="normálne 9 3 2 4" xfId="469"/>
    <cellStyle name="normálne 9 3 2 5" xfId="610"/>
    <cellStyle name="normálne 9 3 2 6" xfId="775"/>
    <cellStyle name="normálne 9 3 2 7" xfId="935"/>
    <cellStyle name="normálne 9 3 3" xfId="189"/>
    <cellStyle name="normálne 9 3 3 2" xfId="369"/>
    <cellStyle name="normálne 9 3 3 3" xfId="506"/>
    <cellStyle name="normálne 9 3 3 4" xfId="646"/>
    <cellStyle name="normálne 9 3 3 5" xfId="812"/>
    <cellStyle name="normálne 9 3 3 6" xfId="957"/>
    <cellStyle name="normálne 9 3 4" xfId="291"/>
    <cellStyle name="normálne 9 3 5" xfId="433"/>
    <cellStyle name="normálne 9 3 6" xfId="575"/>
    <cellStyle name="normálne 9 3 7" xfId="738"/>
    <cellStyle name="normálne 9 3 8" xfId="889"/>
    <cellStyle name="normálne 9 4" xfId="128"/>
    <cellStyle name="normálne 9 4 2" xfId="202"/>
    <cellStyle name="normálne 9 4 2 2" xfId="382"/>
    <cellStyle name="normálne 9 4 2 3" xfId="519"/>
    <cellStyle name="normálne 9 4 2 4" xfId="659"/>
    <cellStyle name="normálne 9 4 2 5" xfId="825"/>
    <cellStyle name="normálne 9 4 2 6" xfId="906"/>
    <cellStyle name="normálne 9 4 3" xfId="309"/>
    <cellStyle name="normálne 9 4 4" xfId="447"/>
    <cellStyle name="normálne 9 4 5" xfId="588"/>
    <cellStyle name="normálne 9 4 6" xfId="753"/>
    <cellStyle name="normálne 9 4 7" xfId="1000"/>
    <cellStyle name="normálne 9 5" xfId="167"/>
    <cellStyle name="normálne 9 5 2" xfId="347"/>
    <cellStyle name="normálne 9 5 3" xfId="484"/>
    <cellStyle name="normálne 9 5 4" xfId="624"/>
    <cellStyle name="normálne 9 5 5" xfId="790"/>
    <cellStyle name="normálne 9 5 6" xfId="991"/>
    <cellStyle name="normálne 9 6" xfId="257"/>
    <cellStyle name="normálne 9 7" xfId="413"/>
    <cellStyle name="normálne 9 8" xfId="292"/>
    <cellStyle name="normálne 9 9" xfId="701"/>
    <cellStyle name="normálne 9 9 2" xfId="1033"/>
    <cellStyle name="normálne 9 9 3" xfId="1126"/>
    <cellStyle name="normální_CENY.XLS" xfId="50"/>
    <cellStyle name="Note" xfId="1269"/>
    <cellStyle name="Output" xfId="1296"/>
    <cellStyle name="Percentá" xfId="4" builtinId="5"/>
    <cellStyle name="percentá 10" xfId="1247"/>
    <cellStyle name="percentá 11" xfId="1248"/>
    <cellStyle name="percentá 12" xfId="1249"/>
    <cellStyle name="percentá 13" xfId="1256"/>
    <cellStyle name="percentá 13 2" xfId="1401"/>
    <cellStyle name="percentá 14" xfId="1250"/>
    <cellStyle name="percentá 15" xfId="1251"/>
    <cellStyle name="Percentá 16" xfId="51"/>
    <cellStyle name="percentá 17" xfId="1252"/>
    <cellStyle name="Percentá 18" xfId="1259"/>
    <cellStyle name="Percentá 19" xfId="1260"/>
    <cellStyle name="Percentá 19 2" xfId="1415"/>
    <cellStyle name="percentá 2" xfId="60"/>
    <cellStyle name="percentá 2 10" xfId="1087"/>
    <cellStyle name="percentá 2 11" xfId="1070"/>
    <cellStyle name="percentá 2 12" xfId="1102"/>
    <cellStyle name="percentá 2 13" xfId="1109"/>
    <cellStyle name="percentá 2 14" xfId="747"/>
    <cellStyle name="percentá 2 15" xfId="1138"/>
    <cellStyle name="percentá 2 16" xfId="1144"/>
    <cellStyle name="percentá 2 17" xfId="1151"/>
    <cellStyle name="percentá 2 18" xfId="1158"/>
    <cellStyle name="percentá 2 19" xfId="1165"/>
    <cellStyle name="percentá 2 2" xfId="76"/>
    <cellStyle name="percentá 2 2 2" xfId="114"/>
    <cellStyle name="percentá 2 20" xfId="1172"/>
    <cellStyle name="percentá 2 21" xfId="1178"/>
    <cellStyle name="percentá 2 22" xfId="1184"/>
    <cellStyle name="percentá 2 23" xfId="1190"/>
    <cellStyle name="percentá 2 24" xfId="1196"/>
    <cellStyle name="percentá 2 3" xfId="70"/>
    <cellStyle name="percentá 2 3 2" xfId="259"/>
    <cellStyle name="percentá 2 3 2 2" xfId="866"/>
    <cellStyle name="percentá 2 3 2 2 2" xfId="1368"/>
    <cellStyle name="percentá 2 3 2 3" xfId="877"/>
    <cellStyle name="percentá 2 3 2 3 2" xfId="1370"/>
    <cellStyle name="percentá 2 3 2 4" xfId="1346"/>
    <cellStyle name="percentá 2 3 3" xfId="302"/>
    <cellStyle name="percentá 2 3 3 2" xfId="886"/>
    <cellStyle name="percentá 2 3 3 2 2" xfId="1374"/>
    <cellStyle name="percentá 2 3 3 3" xfId="1020"/>
    <cellStyle name="percentá 2 3 3 3 2" xfId="1388"/>
    <cellStyle name="percentá 2 3 3 4" xfId="1348"/>
    <cellStyle name="percentá 2 3 4" xfId="429"/>
    <cellStyle name="percentá 2 3 4 2" xfId="931"/>
    <cellStyle name="percentá 2 3 4 2 2" xfId="1380"/>
    <cellStyle name="percentá 2 3 4 3" xfId="983"/>
    <cellStyle name="percentá 2 3 4 3 2" xfId="1383"/>
    <cellStyle name="percentá 2 3 4 4" xfId="1353"/>
    <cellStyle name="percentá 2 3 5" xfId="716"/>
    <cellStyle name="percentá 2 3 5 2" xfId="1362"/>
    <cellStyle name="percentá 2 3 6" xfId="1006"/>
    <cellStyle name="percentá 2 3 6 2" xfId="1385"/>
    <cellStyle name="percentá 2 3 7" xfId="1340"/>
    <cellStyle name="percentá 2 4" xfId="101"/>
    <cellStyle name="percentá 2 5" xfId="699"/>
    <cellStyle name="percentá 2 5 2" xfId="1029"/>
    <cellStyle name="percentá 2 5 3" xfId="1122"/>
    <cellStyle name="percentá 2 6" xfId="1023"/>
    <cellStyle name="percentá 2 7" xfId="1044"/>
    <cellStyle name="percentá 2 8" xfId="1054"/>
    <cellStyle name="percentá 2 9" xfId="1067"/>
    <cellStyle name="Percentá 20" xfId="1262"/>
    <cellStyle name="Percentá 21" xfId="1329"/>
    <cellStyle name="Percentá 22" xfId="1320"/>
    <cellStyle name="Percentá 23" xfId="1278"/>
    <cellStyle name="Percentá 24" xfId="1313"/>
    <cellStyle name="Percentá 25" xfId="1323"/>
    <cellStyle name="Percentá 26" xfId="1324"/>
    <cellStyle name="Percentá 27" xfId="1312"/>
    <cellStyle name="Percentá 28" xfId="1399"/>
    <cellStyle name="Percentá 29" xfId="1325"/>
    <cellStyle name="percentá 3" xfId="73"/>
    <cellStyle name="percentá 3 10" xfId="1061"/>
    <cellStyle name="percentá 3 11" xfId="1114"/>
    <cellStyle name="percentá 3 2" xfId="111"/>
    <cellStyle name="percentá 3 3" xfId="1037"/>
    <cellStyle name="percentá 3 4" xfId="1083"/>
    <cellStyle name="percentá 3 5" xfId="1071"/>
    <cellStyle name="percentá 3 6" xfId="1068"/>
    <cellStyle name="percentá 3 7" xfId="1056"/>
    <cellStyle name="percentá 3 8" xfId="1089"/>
    <cellStyle name="percentá 3 9" xfId="1079"/>
    <cellStyle name="Percentá 30" xfId="1406"/>
    <cellStyle name="Percentá 31" xfId="1409"/>
    <cellStyle name="Percentá 32" xfId="1407"/>
    <cellStyle name="Percentá 33" xfId="1411"/>
    <cellStyle name="Percentá 34" xfId="1414"/>
    <cellStyle name="Percentá 35" xfId="1416"/>
    <cellStyle name="percentá 4" xfId="81"/>
    <cellStyle name="percentá 5" xfId="95"/>
    <cellStyle name="percentá 6" xfId="122"/>
    <cellStyle name="percentá 7" xfId="161"/>
    <cellStyle name="percentá 8" xfId="236"/>
    <cellStyle name="percentá 9" xfId="238"/>
    <cellStyle name="percentá 9 2" xfId="416"/>
    <cellStyle name="percentá 9 2 2" xfId="1351"/>
    <cellStyle name="percentá 9 3" xfId="553"/>
    <cellStyle name="percentá 9 3 2" xfId="1356"/>
    <cellStyle name="percentá 9 4" xfId="692"/>
    <cellStyle name="percentá 9 4 2" xfId="1358"/>
    <cellStyle name="percentá 9 5" xfId="859"/>
    <cellStyle name="percentá 9 5 2" xfId="1365"/>
    <cellStyle name="percentá 9 6" xfId="909"/>
    <cellStyle name="percentá 9 6 2" xfId="1376"/>
    <cellStyle name="percentá 9 7" xfId="1342"/>
    <cellStyle name="Poznámka" xfId="19" builtinId="10" customBuiltin="1"/>
    <cellStyle name="Poznámka 2" xfId="1244"/>
    <cellStyle name="Poznámka 3" xfId="1240"/>
    <cellStyle name="Poznámka 4" xfId="1242"/>
    <cellStyle name="Poznámka 5" xfId="1241"/>
    <cellStyle name="Poznámka 6" xfId="1243"/>
    <cellStyle name="Poznámka 7" xfId="1239"/>
    <cellStyle name="Prepojená bunka" xfId="16" builtinId="24" customBuiltin="1"/>
    <cellStyle name="Prepojená bunka 2" xfId="1210"/>
    <cellStyle name="SAPBEXaggData" xfId="56"/>
    <cellStyle name="Spolu" xfId="21" builtinId="25" customBuiltin="1"/>
    <cellStyle name="Spolu 2" xfId="1214"/>
    <cellStyle name="Text upozornenia" xfId="18" builtinId="11" customBuiltin="1"/>
    <cellStyle name="Text upozornenia 2" xfId="1212"/>
    <cellStyle name="Title" xfId="1315"/>
    <cellStyle name="Titul" xfId="5" builtinId="15" customBuiltin="1"/>
    <cellStyle name="Titul 2" xfId="1199"/>
    <cellStyle name="Total" xfId="1271"/>
    <cellStyle name="Vstup" xfId="13" builtinId="20" customBuiltin="1"/>
    <cellStyle name="Vstup 2" xfId="1207"/>
    <cellStyle name="Výpočet" xfId="15" builtinId="22" customBuiltin="1"/>
    <cellStyle name="Výpočet 2" xfId="1209"/>
    <cellStyle name="Výstup" xfId="14" builtinId="21" customBuiltin="1"/>
    <cellStyle name="Výstup 2" xfId="1208"/>
    <cellStyle name="Vysvetľujúci text" xfId="20" builtinId="53" customBuiltin="1"/>
    <cellStyle name="Vysvetľujúci text 2" xfId="1213"/>
    <cellStyle name="Warning Text" xfId="1402"/>
    <cellStyle name="Zlá" xfId="11" builtinId="27" customBuiltin="1"/>
    <cellStyle name="Zlá 2" xfId="1205"/>
    <cellStyle name="Zvýraznenie1" xfId="22" builtinId="29" customBuiltin="1"/>
    <cellStyle name="Zvýraznenie1 2" xfId="1215"/>
    <cellStyle name="Zvýraznenie2" xfId="26" builtinId="33" customBuiltin="1"/>
    <cellStyle name="Zvýraznenie2 2" xfId="1219"/>
    <cellStyle name="Zvýraznenie3" xfId="30" builtinId="37" customBuiltin="1"/>
    <cellStyle name="Zvýraznenie3 2" xfId="1223"/>
    <cellStyle name="Zvýraznenie4" xfId="34" builtinId="41" customBuiltin="1"/>
    <cellStyle name="Zvýraznenie4 2" xfId="1227"/>
    <cellStyle name="Zvýraznenie5" xfId="38" builtinId="45" customBuiltin="1"/>
    <cellStyle name="Zvýraznenie5 2" xfId="1231"/>
    <cellStyle name="Zvýraznenie6" xfId="42" builtinId="49" customBuiltin="1"/>
    <cellStyle name="Zvýraznenie6 2" xfId="1235"/>
  </cellStyles>
  <dxfs count="14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164" formatCode="_-* #,##0_-;\-* #,##0_-;_-* &quot;-&quot;??_-;_-@_-"/>
    </dxf>
    <dxf>
      <numFmt numFmtId="170" formatCode="_-* #,##0.0_-;\-* #,##0.0_-;_-* &quot;-&quot;??_-;_-@_-"/>
    </dxf>
    <dxf>
      <numFmt numFmtId="35" formatCode="_-* #,##0.00_-;\-* #,##0.00_-;_-* &quot;-&quot;??_-;_-@_-"/>
    </dxf>
    <dxf>
      <numFmt numFmtId="1" formatCode="0"/>
    </dxf>
    <dxf>
      <numFmt numFmtId="165" formatCode="0.0"/>
    </dxf>
    <dxf>
      <numFmt numFmtId="2" formatCode="0.00"/>
    </dxf>
    <dxf>
      <numFmt numFmtId="168" formatCode="0.000"/>
    </dxf>
    <dxf>
      <numFmt numFmtId="171" formatCode="0.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'servisné náklady'!$A$1:$A$2</c:f>
              <c:strCache>
                <c:ptCount val="2"/>
                <c:pt idx="0">
                  <c:v>Servisné náklady na súčasnú flotilu</c:v>
                </c:pt>
                <c:pt idx="1">
                  <c:v>Servisné náklady na preferovaný variant</c:v>
                </c:pt>
              </c:strCache>
            </c:strRef>
          </c:cat>
          <c:val>
            <c:numRef>
              <c:f>'servisné náklady'!$B$1:$B$2</c:f>
              <c:numCache>
                <c:formatCode>_("€"* #,##0.00_);_("€"* \(#,##0.00\);_("€"* "-"??_);_(@_)</c:formatCode>
                <c:ptCount val="2"/>
                <c:pt idx="0">
                  <c:v>17676452.266985238</c:v>
                </c:pt>
                <c:pt idx="1">
                  <c:v>9332639.6092585661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F-4F78-B572-0388D01B4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547280"/>
        <c:axId val="507542360"/>
      </c:barChart>
      <c:catAx>
        <c:axId val="5075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7542360"/>
        <c:crosses val="autoZero"/>
        <c:auto val="1"/>
        <c:lblAlgn val="ctr"/>
        <c:lblOffset val="100"/>
        <c:noMultiLvlLbl val="0"/>
      </c:catAx>
      <c:valAx>
        <c:axId val="50754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754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225425</xdr:colOff>
      <xdr:row>3</xdr:row>
      <xdr:rowOff>69850</xdr:rowOff>
    </xdr:from>
    <xdr:to>
      <xdr:col>12</xdr:col>
      <xdr:colOff>530225</xdr:colOff>
      <xdr:row>18</xdr:row>
      <xdr:rowOff>50800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ecko2740481/Desktop/ulohy%202023/oktober/plosiny%20CBA/AP%2032%20&#353;t&#250;dia%20podklady%20-%20opravy%20po%20roko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ERVIS SUMM"/>
      <sheetName val="PIVOT 2"/>
      <sheetName val="Hárok1"/>
      <sheetName val="Hárok2"/>
      <sheetName val="Hárok3"/>
    </sheetNames>
    <sheetDataSet>
      <sheetData sheetId="0"/>
      <sheetData sheetId="1">
        <row r="1">
          <cell r="A1" t="str">
            <v>Označenia riadkov</v>
          </cell>
          <cell r="B1">
            <v>2019</v>
          </cell>
          <cell r="C1">
            <v>2020</v>
          </cell>
          <cell r="D1">
            <v>2021</v>
          </cell>
          <cell r="E1" t="str">
            <v>PRIEMER</v>
          </cell>
        </row>
        <row r="2">
          <cell r="A2">
            <v>42176</v>
          </cell>
          <cell r="B2"/>
          <cell r="C2"/>
          <cell r="D2"/>
          <cell r="E2" t="e">
            <v>#DIV/0!</v>
          </cell>
        </row>
        <row r="3">
          <cell r="A3">
            <v>42247</v>
          </cell>
          <cell r="B3">
            <v>4</v>
          </cell>
          <cell r="C3">
            <v>5</v>
          </cell>
          <cell r="D3">
            <v>3</v>
          </cell>
          <cell r="E3">
            <v>4</v>
          </cell>
        </row>
        <row r="4">
          <cell r="A4">
            <v>42249</v>
          </cell>
          <cell r="B4">
            <v>5</v>
          </cell>
          <cell r="C4">
            <v>4</v>
          </cell>
          <cell r="D4">
            <v>3</v>
          </cell>
          <cell r="E4">
            <v>4</v>
          </cell>
        </row>
        <row r="5">
          <cell r="A5">
            <v>42482</v>
          </cell>
          <cell r="B5">
            <v>2</v>
          </cell>
          <cell r="C5">
            <v>3</v>
          </cell>
          <cell r="D5">
            <v>6</v>
          </cell>
          <cell r="E5">
            <v>3.6666666666666665</v>
          </cell>
        </row>
        <row r="6">
          <cell r="A6">
            <v>42506</v>
          </cell>
          <cell r="B6">
            <v>3</v>
          </cell>
          <cell r="C6">
            <v>5</v>
          </cell>
          <cell r="D6">
            <v>4</v>
          </cell>
          <cell r="E6">
            <v>4</v>
          </cell>
        </row>
        <row r="7">
          <cell r="A7">
            <v>42509</v>
          </cell>
          <cell r="B7">
            <v>2</v>
          </cell>
          <cell r="C7">
            <v>2</v>
          </cell>
          <cell r="D7">
            <v>6</v>
          </cell>
          <cell r="E7">
            <v>3.3333333333333335</v>
          </cell>
        </row>
        <row r="8">
          <cell r="A8">
            <v>42511</v>
          </cell>
          <cell r="B8">
            <v>7</v>
          </cell>
          <cell r="C8">
            <v>11</v>
          </cell>
          <cell r="D8">
            <v>4</v>
          </cell>
          <cell r="E8">
            <v>7.333333333333333</v>
          </cell>
        </row>
        <row r="9">
          <cell r="A9">
            <v>42524</v>
          </cell>
          <cell r="B9">
            <v>6</v>
          </cell>
          <cell r="C9">
            <v>6</v>
          </cell>
          <cell r="D9">
            <v>1</v>
          </cell>
          <cell r="E9">
            <v>4.333333333333333</v>
          </cell>
        </row>
        <row r="10">
          <cell r="A10">
            <v>42525</v>
          </cell>
          <cell r="B10">
            <v>2</v>
          </cell>
          <cell r="C10">
            <v>2</v>
          </cell>
          <cell r="D10">
            <v>3</v>
          </cell>
          <cell r="E10">
            <v>2.3333333333333335</v>
          </cell>
        </row>
        <row r="11">
          <cell r="A11">
            <v>42528</v>
          </cell>
          <cell r="B11">
            <v>4</v>
          </cell>
          <cell r="C11">
            <v>4</v>
          </cell>
          <cell r="D11">
            <v>2</v>
          </cell>
          <cell r="E11">
            <v>3.3333333333333335</v>
          </cell>
        </row>
        <row r="12">
          <cell r="A12">
            <v>42529</v>
          </cell>
          <cell r="B12">
            <v>5</v>
          </cell>
          <cell r="C12">
            <v>1</v>
          </cell>
          <cell r="D12">
            <v>5</v>
          </cell>
          <cell r="E12">
            <v>3.6666666666666665</v>
          </cell>
        </row>
        <row r="13">
          <cell r="A13">
            <v>42534</v>
          </cell>
          <cell r="B13">
            <v>2</v>
          </cell>
          <cell r="C13"/>
          <cell r="D13">
            <v>4</v>
          </cell>
          <cell r="E13">
            <v>3</v>
          </cell>
        </row>
        <row r="14">
          <cell r="A14">
            <v>42540</v>
          </cell>
          <cell r="B14">
            <v>5</v>
          </cell>
          <cell r="C14">
            <v>3</v>
          </cell>
          <cell r="D14">
            <v>3</v>
          </cell>
          <cell r="E14">
            <v>3.6666666666666665</v>
          </cell>
        </row>
        <row r="15">
          <cell r="A15">
            <v>42542</v>
          </cell>
          <cell r="B15">
            <v>4</v>
          </cell>
          <cell r="C15">
            <v>2</v>
          </cell>
          <cell r="D15">
            <v>2</v>
          </cell>
          <cell r="E15">
            <v>2.6666666666666665</v>
          </cell>
        </row>
        <row r="16">
          <cell r="A16">
            <v>42543</v>
          </cell>
          <cell r="B16">
            <v>2</v>
          </cell>
          <cell r="C16">
            <v>4</v>
          </cell>
          <cell r="D16">
            <v>1</v>
          </cell>
          <cell r="E16">
            <v>2.3333333333333335</v>
          </cell>
        </row>
        <row r="17">
          <cell r="A17">
            <v>42659</v>
          </cell>
          <cell r="B17">
            <v>2</v>
          </cell>
          <cell r="C17"/>
          <cell r="D17">
            <v>3</v>
          </cell>
          <cell r="E17">
            <v>2.5</v>
          </cell>
        </row>
        <row r="18">
          <cell r="A18">
            <v>42672</v>
          </cell>
          <cell r="B18">
            <v>2</v>
          </cell>
          <cell r="C18">
            <v>2</v>
          </cell>
          <cell r="D18">
            <v>3</v>
          </cell>
          <cell r="E18">
            <v>2.3333333333333335</v>
          </cell>
        </row>
        <row r="19">
          <cell r="A19">
            <v>42675</v>
          </cell>
          <cell r="B19">
            <v>5</v>
          </cell>
          <cell r="C19"/>
          <cell r="D19">
            <v>4</v>
          </cell>
          <cell r="E19">
            <v>4.5</v>
          </cell>
        </row>
        <row r="20">
          <cell r="A20">
            <v>42679</v>
          </cell>
          <cell r="B20">
            <v>3</v>
          </cell>
          <cell r="C20">
            <v>7</v>
          </cell>
          <cell r="D20">
            <v>3</v>
          </cell>
          <cell r="E20">
            <v>4.333333333333333</v>
          </cell>
        </row>
        <row r="21">
          <cell r="A21">
            <v>42682</v>
          </cell>
          <cell r="B21">
            <v>4</v>
          </cell>
          <cell r="C21">
            <v>3</v>
          </cell>
          <cell r="D21">
            <v>6</v>
          </cell>
          <cell r="E21">
            <v>4.333333333333333</v>
          </cell>
        </row>
        <row r="22">
          <cell r="A22">
            <v>42683</v>
          </cell>
          <cell r="B22">
            <v>2</v>
          </cell>
          <cell r="C22"/>
          <cell r="D22">
            <v>2</v>
          </cell>
          <cell r="E22">
            <v>2</v>
          </cell>
        </row>
        <row r="23">
          <cell r="A23">
            <v>42684</v>
          </cell>
          <cell r="B23">
            <v>1</v>
          </cell>
          <cell r="C23">
            <v>3</v>
          </cell>
          <cell r="D23">
            <v>2</v>
          </cell>
          <cell r="E23">
            <v>2</v>
          </cell>
        </row>
        <row r="24">
          <cell r="A24">
            <v>42685</v>
          </cell>
          <cell r="B24">
            <v>8</v>
          </cell>
          <cell r="C24">
            <v>3</v>
          </cell>
          <cell r="D24">
            <v>7</v>
          </cell>
          <cell r="E24">
            <v>6</v>
          </cell>
        </row>
        <row r="25">
          <cell r="A25">
            <v>42849</v>
          </cell>
          <cell r="B25">
            <v>3</v>
          </cell>
          <cell r="C25">
            <v>7</v>
          </cell>
          <cell r="D25">
            <v>3</v>
          </cell>
          <cell r="E25">
            <v>4.333333333333333</v>
          </cell>
        </row>
        <row r="26">
          <cell r="A26">
            <v>42850</v>
          </cell>
          <cell r="B26">
            <v>3</v>
          </cell>
          <cell r="C26">
            <v>9</v>
          </cell>
          <cell r="D26">
            <v>4</v>
          </cell>
          <cell r="E26">
            <v>5.333333333333333</v>
          </cell>
        </row>
        <row r="27">
          <cell r="A27">
            <v>42853</v>
          </cell>
          <cell r="B27">
            <v>2</v>
          </cell>
          <cell r="C27">
            <v>6</v>
          </cell>
          <cell r="D27">
            <v>4</v>
          </cell>
          <cell r="E27">
            <v>4</v>
          </cell>
        </row>
        <row r="28">
          <cell r="A28">
            <v>42859</v>
          </cell>
          <cell r="B28">
            <v>3</v>
          </cell>
          <cell r="C28">
            <v>7</v>
          </cell>
          <cell r="D28">
            <v>7</v>
          </cell>
          <cell r="E28">
            <v>5.666666666666667</v>
          </cell>
        </row>
        <row r="29">
          <cell r="A29">
            <v>42860</v>
          </cell>
          <cell r="B29">
            <v>4</v>
          </cell>
          <cell r="C29">
            <v>4</v>
          </cell>
          <cell r="D29">
            <v>5</v>
          </cell>
          <cell r="E29">
            <v>4.333333333333333</v>
          </cell>
        </row>
        <row r="30">
          <cell r="A30">
            <v>44133</v>
          </cell>
          <cell r="B30">
            <v>4</v>
          </cell>
          <cell r="C30">
            <v>3</v>
          </cell>
          <cell r="D30">
            <v>4</v>
          </cell>
          <cell r="E30">
            <v>3.6666666666666665</v>
          </cell>
        </row>
        <row r="31">
          <cell r="A31">
            <v>44134</v>
          </cell>
          <cell r="B31">
            <v>5</v>
          </cell>
          <cell r="C31">
            <v>5</v>
          </cell>
          <cell r="D31">
            <v>3</v>
          </cell>
          <cell r="E31">
            <v>4.333333333333333</v>
          </cell>
        </row>
        <row r="32">
          <cell r="A32">
            <v>44140</v>
          </cell>
          <cell r="B32">
            <v>2</v>
          </cell>
          <cell r="C32">
            <v>2</v>
          </cell>
          <cell r="D32">
            <v>2</v>
          </cell>
          <cell r="E32">
            <v>2</v>
          </cell>
        </row>
        <row r="33">
          <cell r="A33">
            <v>44145</v>
          </cell>
          <cell r="B33">
            <v>2</v>
          </cell>
          <cell r="C33">
            <v>5</v>
          </cell>
          <cell r="D33">
            <v>4</v>
          </cell>
          <cell r="E33">
            <v>3.6666666666666665</v>
          </cell>
        </row>
        <row r="34">
          <cell r="A34">
            <v>60004</v>
          </cell>
          <cell r="B34">
            <v>3</v>
          </cell>
          <cell r="C34">
            <v>3</v>
          </cell>
          <cell r="D34">
            <v>3</v>
          </cell>
          <cell r="E34">
            <v>3</v>
          </cell>
        </row>
        <row r="35">
          <cell r="A35">
            <v>60452</v>
          </cell>
          <cell r="B35">
            <v>3</v>
          </cell>
          <cell r="C35">
            <v>5</v>
          </cell>
          <cell r="D35">
            <v>3</v>
          </cell>
          <cell r="E35">
            <v>3.6666666666666665</v>
          </cell>
        </row>
        <row r="36">
          <cell r="A36">
            <v>60500</v>
          </cell>
          <cell r="B36">
            <v>6</v>
          </cell>
          <cell r="C36">
            <v>6</v>
          </cell>
          <cell r="D36">
            <v>4</v>
          </cell>
          <cell r="E36">
            <v>5.333333333333333</v>
          </cell>
        </row>
        <row r="37">
          <cell r="A37">
            <v>60517</v>
          </cell>
          <cell r="B37">
            <v>3</v>
          </cell>
          <cell r="C37">
            <v>1</v>
          </cell>
          <cell r="D37">
            <v>7</v>
          </cell>
          <cell r="E37">
            <v>3.6666666666666665</v>
          </cell>
        </row>
        <row r="38">
          <cell r="A38">
            <v>60527</v>
          </cell>
          <cell r="B38">
            <v>2</v>
          </cell>
          <cell r="C38">
            <v>4</v>
          </cell>
          <cell r="D38">
            <v>5</v>
          </cell>
          <cell r="E38">
            <v>3.6666666666666665</v>
          </cell>
        </row>
        <row r="39">
          <cell r="A39">
            <v>60532</v>
          </cell>
          <cell r="B39">
            <v>5</v>
          </cell>
          <cell r="C39">
            <v>2</v>
          </cell>
          <cell r="D39">
            <v>2</v>
          </cell>
          <cell r="E39">
            <v>3</v>
          </cell>
        </row>
        <row r="40">
          <cell r="A40">
            <v>60578</v>
          </cell>
          <cell r="B40">
            <v>3</v>
          </cell>
          <cell r="C40">
            <v>1</v>
          </cell>
          <cell r="D40">
            <v>6</v>
          </cell>
          <cell r="E40">
            <v>3.3333333333333335</v>
          </cell>
        </row>
        <row r="41">
          <cell r="A41">
            <v>60646</v>
          </cell>
          <cell r="B41">
            <v>1</v>
          </cell>
          <cell r="C41">
            <v>5</v>
          </cell>
          <cell r="D41">
            <v>4</v>
          </cell>
          <cell r="E41">
            <v>3.3333333333333335</v>
          </cell>
        </row>
        <row r="42">
          <cell r="A42">
            <v>60687</v>
          </cell>
          <cell r="B42">
            <v>3</v>
          </cell>
          <cell r="C42">
            <v>3</v>
          </cell>
          <cell r="D42">
            <v>5</v>
          </cell>
          <cell r="E42">
            <v>3.6666666666666665</v>
          </cell>
        </row>
        <row r="43">
          <cell r="A43">
            <v>60693</v>
          </cell>
          <cell r="B43">
            <v>2</v>
          </cell>
          <cell r="C43">
            <v>6</v>
          </cell>
          <cell r="D43">
            <v>7</v>
          </cell>
          <cell r="E43">
            <v>5</v>
          </cell>
        </row>
        <row r="44">
          <cell r="A44">
            <v>60715</v>
          </cell>
          <cell r="B44">
            <v>5</v>
          </cell>
          <cell r="C44">
            <v>3</v>
          </cell>
          <cell r="D44">
            <v>4</v>
          </cell>
          <cell r="E44">
            <v>4</v>
          </cell>
        </row>
        <row r="45">
          <cell r="A45">
            <v>60903</v>
          </cell>
          <cell r="B45">
            <v>2</v>
          </cell>
          <cell r="C45">
            <v>5</v>
          </cell>
          <cell r="D45">
            <v>3</v>
          </cell>
          <cell r="E45">
            <v>3.3333333333333335</v>
          </cell>
        </row>
        <row r="46">
          <cell r="A46">
            <v>61018</v>
          </cell>
          <cell r="B46"/>
          <cell r="C46">
            <v>2</v>
          </cell>
          <cell r="D46">
            <v>1</v>
          </cell>
          <cell r="E46">
            <v>1.5</v>
          </cell>
        </row>
        <row r="47">
          <cell r="A47">
            <v>61311</v>
          </cell>
          <cell r="B47">
            <v>3</v>
          </cell>
          <cell r="C47">
            <v>5</v>
          </cell>
          <cell r="D47">
            <v>6</v>
          </cell>
          <cell r="E47">
            <v>4.666666666666667</v>
          </cell>
        </row>
        <row r="48">
          <cell r="A48">
            <v>61441</v>
          </cell>
          <cell r="B48">
            <v>2</v>
          </cell>
          <cell r="C48">
            <v>5</v>
          </cell>
          <cell r="D48">
            <v>4</v>
          </cell>
          <cell r="E48">
            <v>3.6666666666666665</v>
          </cell>
        </row>
      </sheetData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iver Tomečko" refreshedDate="45222.62306273148" createdVersion="6" refreshedVersion="6" minRefreshableVersion="3" recordCount="47">
  <cacheSource type="worksheet">
    <worksheetSource ref="A1:Q48" sheet="data"/>
  </cacheSource>
  <cacheFields count="17">
    <cacheField name="Počet" numFmtId="0">
      <sharedItems containsSemiMixedTypes="0" containsString="0" containsNumber="1" containsInteger="1" minValue="1" maxValue="1"/>
    </cacheField>
    <cacheField name="REČ  (SAP)" numFmtId="0">
      <sharedItems containsSemiMixedTypes="0" containsString="0" containsNumber="1" containsInteger="1" minValue="42176" maxValue="61441"/>
    </cacheField>
    <cacheField name="Typ" numFmtId="0">
      <sharedItems count="7">
        <s v="AP 27 SUB T 148"/>
        <s v="AP 27 SUB T 815"/>
        <s v="AP 50-2T1 Bronto Skylift T 815 "/>
        <s v="AP 40-2T1 Bronto Skylift T 815 "/>
        <s v="AHZS 1D Magirus Multistar Iveco Eurocargo"/>
        <s v="AP F42 RL Bronto Skylift MB Actros "/>
        <s v="AP F44 RLX Bronto Skylift MAN TGS"/>
      </sharedItems>
    </cacheField>
    <cacheField name="Označenie vozidla  (SAP)" numFmtId="0">
      <sharedItems/>
    </cacheField>
    <cacheField name="Rok výroby" numFmtId="0">
      <sharedItems containsSemiMixedTypes="0" containsString="0" containsNumber="1" containsInteger="1" minValue="1975" maxValue="2013" count="15">
        <n v="1975"/>
        <n v="1985"/>
        <n v="1987"/>
        <n v="1988"/>
        <n v="1989"/>
        <n v="1990"/>
        <n v="1991"/>
        <n v="1992"/>
        <n v="2003"/>
        <n v="2004"/>
        <n v="2007"/>
        <n v="2008"/>
        <n v="2009"/>
        <n v="2012"/>
        <n v="2013"/>
      </sharedItems>
    </cacheField>
    <cacheField name="dekáda" numFmtId="0">
      <sharedItems count="5">
        <s v="70s"/>
        <s v="80s"/>
        <s v="90s"/>
        <s v="00s"/>
        <s v="10s"/>
      </sharedItems>
    </cacheField>
    <cacheField name="Závod" numFmtId="0">
      <sharedItems/>
    </cacheField>
    <cacheField name="Dopravný okruh" numFmtId="0">
      <sharedItems/>
    </cacheField>
    <cacheField name="Dislokácia" numFmtId="0">
      <sharedItems/>
    </cacheField>
    <cacheField name="Kategória hasičskej stanice" numFmtId="0">
      <sharedItems count="4">
        <s v="II"/>
        <s v="IV"/>
        <s v="III"/>
        <s v="V"/>
      </sharedItems>
    </cacheField>
    <cacheField name="Pôvodná hodnota" numFmtId="43">
      <sharedItems containsSemiMixedTypes="0" containsString="0" containsNumber="1" minValue="642800" maxValue="28899662"/>
    </cacheField>
    <cacheField name="Mena" numFmtId="0">
      <sharedItems/>
    </cacheField>
    <cacheField name="pôvodná hodnota v EUR" numFmtId="44">
      <sharedItems containsSemiMixedTypes="0" containsString="0" containsNumber="1" minValue="21337.051052247229" maxValue="28899662"/>
    </cacheField>
    <cacheField name="Stav tachometra ku dňu 20.2.2023" numFmtId="0">
      <sharedItems containsSemiMixedTypes="0" containsString="0" containsNumber="1" containsInteger="1" minValue="5462" maxValue="62421"/>
    </cacheField>
    <cacheField name="Náklady na opravy" numFmtId="1">
      <sharedItems containsSemiMixedTypes="0" containsString="0" containsNumber="1" containsInteger="1" minValue="15586" maxValue="449534"/>
    </cacheField>
    <cacheField name="Opis technického stavu (vyjadrenie užívateľa ku dňu 20.2.2023)" numFmtId="0">
      <sharedItems/>
    </cacheField>
    <cacheField name="kat" numFmtId="0">
      <sharedItems count="2">
        <s v="zaradena"/>
        <s v="mimo prevadzk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liver Tomečko" refreshedDate="45226.470362499997" createdVersion="6" refreshedVersion="6" minRefreshableVersion="3" recordCount="47">
  <cacheSource type="worksheet">
    <worksheetSource ref="A1:T48" sheet="data"/>
  </cacheSource>
  <cacheFields count="20">
    <cacheField name="Počet" numFmtId="0">
      <sharedItems containsSemiMixedTypes="0" containsString="0" containsNumber="1" containsInteger="1" minValue="1" maxValue="1"/>
    </cacheField>
    <cacheField name="REČ  (SAP)" numFmtId="0">
      <sharedItems containsSemiMixedTypes="0" containsString="0" containsNumber="1" containsInteger="1" minValue="42176" maxValue="61441"/>
    </cacheField>
    <cacheField name="Typ" numFmtId="0">
      <sharedItems/>
    </cacheField>
    <cacheField name="Označenie vozidla  (SAP)" numFmtId="0">
      <sharedItems/>
    </cacheField>
    <cacheField name="Rok výroby" numFmtId="0">
      <sharedItems containsSemiMixedTypes="0" containsString="0" containsNumber="1" containsInteger="1" minValue="1975" maxValue="2013"/>
    </cacheField>
    <cacheField name="dekáda" numFmtId="0">
      <sharedItems count="5">
        <s v="10s"/>
        <s v="00s"/>
        <s v="90s"/>
        <s v="80s"/>
        <s v="70s"/>
      </sharedItems>
    </cacheField>
    <cacheField name="Závod" numFmtId="0">
      <sharedItems/>
    </cacheField>
    <cacheField name="Dopravný okruh" numFmtId="0">
      <sharedItems/>
    </cacheField>
    <cacheField name="Dislokácia" numFmtId="0">
      <sharedItems/>
    </cacheField>
    <cacheField name="Kategória hasičskej stanice" numFmtId="0">
      <sharedItems/>
    </cacheField>
    <cacheField name="Pôvodná hodnota" numFmtId="43">
      <sharedItems containsSemiMixedTypes="0" containsString="0" containsNumber="1" minValue="642800" maxValue="28899662"/>
    </cacheField>
    <cacheField name="Mena" numFmtId="0">
      <sharedItems/>
    </cacheField>
    <cacheField name="pôvodná hodnota v EUR" numFmtId="44">
      <sharedItems containsSemiMixedTypes="0" containsString="0" containsNumber="1" minValue="21337.051052247229" maxValue="961354.33"/>
    </cacheField>
    <cacheField name="Stav tachometra ku dňu 20.2.2023" numFmtId="0">
      <sharedItems containsSemiMixedTypes="0" containsString="0" containsNumber="1" containsInteger="1" minValue="5462" maxValue="62421"/>
    </cacheField>
    <cacheField name="Náklady na opravy" numFmtId="44">
      <sharedItems containsSemiMixedTypes="0" containsString="0" containsNumber="1" containsInteger="1" minValue="15586" maxValue="449534"/>
    </cacheField>
    <cacheField name="Opis technického stavu (vyjadrenie užívateľa ku dňu 20.2.2023)" numFmtId="0">
      <sharedItems/>
    </cacheField>
    <cacheField name="kat" numFmtId="0">
      <sharedItems/>
    </cacheField>
    <cacheField name="zaradena" numFmtId="0">
      <sharedItems containsBlank="1"/>
    </cacheField>
    <cacheField name="vek" numFmtId="0">
      <sharedItems containsSemiMixedTypes="0" containsString="0" containsNumber="1" containsInteger="1" minValue="10" maxValue="48"/>
    </cacheField>
    <cacheField name="nájazd na rok" numFmtId="2">
      <sharedItems containsSemiMixedTypes="0" containsString="0" containsNumber="1" minValue="287.4736842105263" maxValue="4458.64285714285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liver Tomečko" refreshedDate="45322.467020023149" createdVersion="6" refreshedVersion="6" minRefreshableVersion="3" recordCount="47">
  <cacheSource type="worksheet">
    <worksheetSource ref="I1:T48" sheet="data"/>
  </cacheSource>
  <cacheFields count="12">
    <cacheField name="Dislokácia" numFmtId="0">
      <sharedItems/>
    </cacheField>
    <cacheField name="Kategória hasičskej stanice" numFmtId="0">
      <sharedItems count="4">
        <s v="II"/>
        <s v="V"/>
        <s v="III"/>
        <s v="IV"/>
      </sharedItems>
    </cacheField>
    <cacheField name="Pôvodná hodnota" numFmtId="43">
      <sharedItems containsSemiMixedTypes="0" containsString="0" containsNumber="1" minValue="642800" maxValue="28899662"/>
    </cacheField>
    <cacheField name="Mena" numFmtId="0">
      <sharedItems/>
    </cacheField>
    <cacheField name="pôvodná hodnota v EUR" numFmtId="44">
      <sharedItems containsSemiMixedTypes="0" containsString="0" containsNumber="1" minValue="21337.051052247229" maxValue="961354.33"/>
    </cacheField>
    <cacheField name="Stav tachometra ku dňu 20.2.2023" numFmtId="0">
      <sharedItems containsSemiMixedTypes="0" containsString="0" containsNumber="1" containsInteger="1" minValue="5462" maxValue="62421"/>
    </cacheField>
    <cacheField name="Náklady na opravy" numFmtId="44">
      <sharedItems containsSemiMixedTypes="0" containsString="0" containsNumber="1" containsInteger="1" minValue="15586" maxValue="449534"/>
    </cacheField>
    <cacheField name="Opis technického stavu (vyjadrenie užívateľa ku dňu 20.2.2023)" numFmtId="0">
      <sharedItems/>
    </cacheField>
    <cacheField name="kat" numFmtId="0">
      <sharedItems/>
    </cacheField>
    <cacheField name="zaradena" numFmtId="0">
      <sharedItems containsBlank="1"/>
    </cacheField>
    <cacheField name="vek" numFmtId="0">
      <sharedItems containsSemiMixedTypes="0" containsString="0" containsNumber="1" containsInteger="1" minValue="10" maxValue="48"/>
    </cacheField>
    <cacheField name="nájazd na rok" numFmtId="2">
      <sharedItems containsSemiMixedTypes="0" containsString="0" containsNumber="1" minValue="287.4736842105263" maxValue="4458.64285714285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n v="1"/>
    <n v="61441"/>
    <x v="0"/>
    <s v="TATRA T 148 P SUB PVP 27 H"/>
    <x v="0"/>
    <x v="0"/>
    <s v="KR HaZZ KE"/>
    <s v="OR HaZZ TV"/>
    <s v="HS Kráľovský Chlmec"/>
    <x v="0"/>
    <n v="1200000"/>
    <s v="SKK"/>
    <n v="39832.702648874721"/>
    <n v="25391"/>
    <n v="32393"/>
    <s v="zaradená do pohotovosti  - častá poruchovosť elektroinštalácie nadstavby, únik hydraulického oleja, samovoľné vysúvanie pätiek, zastaranosť, nízka prevádzkova spoľahlivosť"/>
    <x v="0"/>
  </r>
  <r>
    <n v="1"/>
    <n v="60578"/>
    <x v="1"/>
    <s v="TATRA T 815 PP-27-2 SUB H"/>
    <x v="1"/>
    <x v="1"/>
    <s v="KR HaZZ KE"/>
    <s v="OR HaZZ SN"/>
    <s v="HS Krompachy"/>
    <x v="0"/>
    <n v="4460370"/>
    <s v="SKK"/>
    <n v="148057.15992830112"/>
    <n v="27543"/>
    <n v="38179"/>
    <s v="zaradená do pohotovosti  - opakovaný únik motorového a hydraulického oleja z podvozku, nízka prevádzkova spoľahlivosť"/>
    <x v="0"/>
  </r>
  <r>
    <n v="1"/>
    <n v="42176"/>
    <x v="2"/>
    <s v="TATRA BRONTO-SKYLIFT 50-2T1 T 815 PJ 36 208 8X8.1/"/>
    <x v="2"/>
    <x v="1"/>
    <s v="Zariadenie zboru"/>
    <s v="VC HaZZ Lešť"/>
    <s v="Výcvikové centrum HaZZ Lešť + HS Pliešovce"/>
    <x v="1"/>
    <n v="9639157.8800000008"/>
    <s v="SKK"/>
    <n v="319961.4246829981"/>
    <n v="14846"/>
    <n v="37022"/>
    <s v="mimo prevádzky -  technika zaradená dlhodobo mimoprevádzky, v procese vyradenia"/>
    <x v="1"/>
  </r>
  <r>
    <n v="1"/>
    <n v="60527"/>
    <x v="1"/>
    <s v="TATRA T 815 PP-27-2 SUB H"/>
    <x v="2"/>
    <x v="1"/>
    <s v="KR HaZZ KE"/>
    <s v="OR HaZZ MI"/>
    <s v="HS Sobrance"/>
    <x v="0"/>
    <n v="823513"/>
    <s v="SKK"/>
    <n v="27335.623713735644"/>
    <n v="21180"/>
    <n v="35182"/>
    <s v="mimo prevádzky - veľmi častá poruchovosť, nízka prevádzkova spoľahlivosť"/>
    <x v="1"/>
  </r>
  <r>
    <n v="1"/>
    <n v="61018"/>
    <x v="1"/>
    <s v="TATRA T 815 PP-27-2 SUB H"/>
    <x v="3"/>
    <x v="1"/>
    <s v="KR HaZZ NR"/>
    <s v="OR HaZZ NR"/>
    <s v="HS Vráble"/>
    <x v="0"/>
    <n v="827903"/>
    <s v="SKK"/>
    <n v="27481.345017592776"/>
    <n v="14525"/>
    <n v="59575"/>
    <s v="mimo prevádzky"/>
    <x v="1"/>
  </r>
  <r>
    <n v="1"/>
    <n v="60452"/>
    <x v="1"/>
    <s v="TATRA T 815 SUB PP27-2/./."/>
    <x v="4"/>
    <x v="1"/>
    <s v="KR HaZZ BB"/>
    <s v="OR HaZZ BR"/>
    <s v="HS Brezno"/>
    <x v="2"/>
    <n v="758010"/>
    <s v="SKK"/>
    <n v="25161.322445727943"/>
    <n v="26722"/>
    <n v="28756"/>
    <s v="zaradená do pohotovosti  "/>
    <x v="0"/>
  </r>
  <r>
    <n v="1"/>
    <n v="60500"/>
    <x v="1"/>
    <s v="TATRA T 815 PP-27-2 SUB H"/>
    <x v="5"/>
    <x v="2"/>
    <s v="KR HaZZ KE"/>
    <s v="OR HaZZ TV"/>
    <s v="HS Kráľovský Chlmec"/>
    <x v="0"/>
    <n v="1500000"/>
    <s v="SKK"/>
    <n v="49790.878311093409"/>
    <n v="12584"/>
    <n v="39986"/>
    <s v="zaradená do pohotovosti  - stav primeraný k veku nadstavby, častá poruchovosť, nízka prevádzkova spoľahlivosť"/>
    <x v="0"/>
  </r>
  <r>
    <n v="1"/>
    <n v="60517"/>
    <x v="1"/>
    <s v="TATRA T 815 PP-27-2 SUB H"/>
    <x v="5"/>
    <x v="2"/>
    <s v="KR HaZZ KE"/>
    <s v="OR HaZZ RV"/>
    <s v="HS Rožňava"/>
    <x v="1"/>
    <n v="755010"/>
    <s v="SKK"/>
    <n v="25061.740689105754"/>
    <n v="19773"/>
    <n v="32437"/>
    <s v="zaradená do pohotovosti  - stav primeraný k veku nadstavby, častá poruchovosť, nízka prevádzkova spoľahlivosť,  "/>
    <x v="0"/>
  </r>
  <r>
    <n v="1"/>
    <n v="60646"/>
    <x v="1"/>
    <s v="TATRA T 815 PP-27-2 SUB H"/>
    <x v="5"/>
    <x v="2"/>
    <s v="KR HaZZ TT"/>
    <s v="OR HaZZ SI"/>
    <s v="HS Holíč"/>
    <x v="2"/>
    <n v="755010"/>
    <s v="SKK"/>
    <n v="25061.740689105754"/>
    <n v="15981"/>
    <n v="51553"/>
    <s v="zaradená do pohotovosti  "/>
    <x v="0"/>
  </r>
  <r>
    <n v="1"/>
    <n v="60687"/>
    <x v="1"/>
    <s v="TATRA T 815 PP-27-2 SUB H"/>
    <x v="5"/>
    <x v="2"/>
    <s v="KR HaZZ TT"/>
    <s v="OR HaZZ GA"/>
    <s v="HS Galanta "/>
    <x v="2"/>
    <n v="755010"/>
    <s v="SKK"/>
    <n v="25061.740689105754"/>
    <n v="15559"/>
    <n v="38677"/>
    <s v="zaradená do pohotovosti  "/>
    <x v="0"/>
  </r>
  <r>
    <n v="1"/>
    <n v="60693"/>
    <x v="3"/>
    <s v="TATRA T 815BRONTOSKYLIFT H"/>
    <x v="5"/>
    <x v="2"/>
    <s v="KR HaZZ TT"/>
    <s v="OR HaZZ SE"/>
    <s v="HS Senica   "/>
    <x v="2"/>
    <n v="19806869.5"/>
    <s v="SKK"/>
    <n v="657467.61933213833"/>
    <n v="19351"/>
    <n v="152871"/>
    <s v="mimo prevádzky - dlhodobo mimo prevádzky, pri odbornej prehliadke zistené nedostatky: prasknuté zvary, nefunkčný suchovod, poškodené hadice, padajúci kôš, únik oleja z podvozkovej aj nadstavbovej časti"/>
    <x v="1"/>
  </r>
  <r>
    <n v="1"/>
    <n v="60715"/>
    <x v="1"/>
    <s v="TATRA T 815 SUB PP27-2/./."/>
    <x v="5"/>
    <x v="2"/>
    <s v="Zariadenie zboru"/>
    <s v="VC HaZZ Lešť"/>
    <s v="Výcvikové centrum HaZZ Lešť + HS Pliešovce"/>
    <x v="1"/>
    <n v="755010"/>
    <s v="SKK"/>
    <n v="25061.740689105754"/>
    <n v="10925"/>
    <n v="32307"/>
    <s v="zaradená do pohotovosti  "/>
    <x v="0"/>
  </r>
  <r>
    <n v="1"/>
    <n v="60903"/>
    <x v="1"/>
    <s v="TATRA T 815 SUB PP27-2/./."/>
    <x v="5"/>
    <x v="2"/>
    <s v="KR HaZZ BB"/>
    <s v="OR HaZZ ZH"/>
    <s v="HS Banská Štiavnica"/>
    <x v="0"/>
    <n v="755010"/>
    <s v="SKK"/>
    <n v="25061.740689105754"/>
    <n v="11962"/>
    <n v="37757"/>
    <s v="zaradená do pohotovosti  "/>
    <x v="0"/>
  </r>
  <r>
    <n v="1"/>
    <n v="61311"/>
    <x v="1"/>
    <s v="TATRA T 815 PP-27-2 SUB H"/>
    <x v="5"/>
    <x v="2"/>
    <s v="KR HaZZ ZA"/>
    <s v="OR HaZZ CA"/>
    <s v="HS Turzovka"/>
    <x v="0"/>
    <n v="755010"/>
    <s v="SKK"/>
    <n v="25061.740689105754"/>
    <n v="15602"/>
    <n v="32866"/>
    <s v="zaradená do pohotovosti  "/>
    <x v="0"/>
  </r>
  <r>
    <n v="1"/>
    <n v="60532"/>
    <x v="1"/>
    <s v="TATRA T 815 PP-27-2 SUB H"/>
    <x v="6"/>
    <x v="2"/>
    <s v="KR HaZZ KE"/>
    <s v="OR HaZZ SN"/>
    <s v="HS Spišská Nová Ves"/>
    <x v="1"/>
    <n v="1480000"/>
    <s v="SKK"/>
    <n v="49126.999933612162"/>
    <n v="18357"/>
    <n v="29336"/>
    <s v="zaradená do pohotovosti  - opakovaný únik motorového a hydraulického oleja z podvozku, skorodovaný podvozok a nadstavba, vozidlo vekom opotrebované  "/>
    <x v="0"/>
  </r>
  <r>
    <n v="1"/>
    <n v="60004"/>
    <x v="1"/>
    <s v="TATRA T 815 PP-27-2 H"/>
    <x v="7"/>
    <x v="2"/>
    <s v="Zariadenie zboru"/>
    <s v="ZB HaZZ MA"/>
    <s v="Záchranná brigáda Malacky"/>
    <x v="3"/>
    <n v="642800"/>
    <s v="SKK"/>
    <n v="21337.051052247229"/>
    <n v="19380"/>
    <n v="58503"/>
    <s v="zaradená do pohotovosti  "/>
    <x v="0"/>
  </r>
  <r>
    <n v="1"/>
    <n v="42543"/>
    <x v="4"/>
    <s v="IVECO 180E EUROCARGO H"/>
    <x v="8"/>
    <x v="3"/>
    <s v="KR HaZZ NR"/>
    <s v="OR HaZZ NZ"/>
    <s v="HS Štúrovo"/>
    <x v="0"/>
    <n v="27920565"/>
    <s v="SKK"/>
    <n v="926792.96952798241"/>
    <n v="24595"/>
    <n v="28238"/>
    <s v="zaradená do pohotovosti  "/>
    <x v="0"/>
  </r>
  <r>
    <n v="1"/>
    <n v="42247"/>
    <x v="5"/>
    <s v="MERCEDES BENZ ACTROS 2641 H"/>
    <x v="9"/>
    <x v="3"/>
    <s v="KR HaZZ PO"/>
    <s v="OR HaZZ PO"/>
    <s v="HS Prešov "/>
    <x v="3"/>
    <n v="27400000"/>
    <s v="SKK"/>
    <n v="909513.37714930624"/>
    <n v="21095"/>
    <n v="197267"/>
    <s v="zaradená do pohotovosti  "/>
    <x v="0"/>
  </r>
  <r>
    <n v="1"/>
    <n v="42249"/>
    <x v="5"/>
    <s v="MERCEDES BENZ ACTROS 2641 H"/>
    <x v="9"/>
    <x v="3"/>
    <s v="KR HaZZ NR"/>
    <s v="OR HaZZ NR"/>
    <s v="HS Nitra"/>
    <x v="3"/>
    <n v="27400000"/>
    <s v="SKK"/>
    <n v="909513.37714930624"/>
    <n v="5462"/>
    <n v="202871"/>
    <s v="zaradená do pohotovosti  "/>
    <x v="0"/>
  </r>
  <r>
    <n v="1"/>
    <n v="42482"/>
    <x v="4"/>
    <s v="IVECO Eurocargo 180E/180E30/."/>
    <x v="10"/>
    <x v="3"/>
    <s v="KR HaZZ KE"/>
    <s v="OR HaZZ SN"/>
    <s v="HS Spišská Nová Ves"/>
    <x v="1"/>
    <n v="27920565"/>
    <s v="SKK"/>
    <n v="926792.96952798241"/>
    <n v="32446"/>
    <n v="87989"/>
    <s v="zaradená do pohotovosti  - sporadicky sa vyskytujúca porucha stabilizácie vozidla,"/>
    <x v="0"/>
  </r>
  <r>
    <n v="1"/>
    <n v="42509"/>
    <x v="4"/>
    <s v="IVECO Eurocargo 180E/180E30/."/>
    <x v="10"/>
    <x v="3"/>
    <s v="KR HaZZ TT"/>
    <s v="OR HaZZ PN"/>
    <s v="HS Piešťany  "/>
    <x v="2"/>
    <n v="27920565"/>
    <s v="SKK"/>
    <n v="926792.96952798241"/>
    <n v="24961"/>
    <n v="86893"/>
    <s v="mimo prevádzky - prevodovka, nutná rekonštrukcia (aj náhonu od prevodovky a podvozkovej časti)"/>
    <x v="1"/>
  </r>
  <r>
    <n v="1"/>
    <n v="42511"/>
    <x v="4"/>
    <s v="IVECO Eurocargo 180E/180E30/."/>
    <x v="10"/>
    <x v="3"/>
    <s v="KR HaZZ BB"/>
    <s v="OR HaZZ VK"/>
    <s v="HS Modrý Kameň"/>
    <x v="2"/>
    <n v="27920565"/>
    <s v="SKK"/>
    <n v="926792.96952798241"/>
    <n v="38636"/>
    <n v="106491"/>
    <s v="zaradená do pohotovosti  "/>
    <x v="0"/>
  </r>
  <r>
    <n v="1"/>
    <n v="42524"/>
    <x v="4"/>
    <s v="IVECO 180E EUROCARGO H"/>
    <x v="10"/>
    <x v="3"/>
    <s v="KR HaZZ BB"/>
    <s v="OR HaZZ ZH"/>
    <s v="HS Žiar nad Hronom  "/>
    <x v="2"/>
    <n v="27920565"/>
    <s v="SKK"/>
    <n v="926792.96952798241"/>
    <n v="46677"/>
    <n v="34389"/>
    <s v="mimo prevádzky"/>
    <x v="1"/>
  </r>
  <r>
    <n v="1"/>
    <n v="42525"/>
    <x v="4"/>
    <s v="IVECO 180E EUROCARGO H"/>
    <x v="10"/>
    <x v="3"/>
    <s v="KR HaZZ NR"/>
    <s v="OR HaZZ TO"/>
    <s v="HS Topoľčany"/>
    <x v="2"/>
    <n v="27920565"/>
    <s v="SKK"/>
    <n v="926792.96952798241"/>
    <n v="6429"/>
    <n v="276936"/>
    <s v="zaradená do pohotovosti  "/>
    <x v="0"/>
  </r>
  <r>
    <n v="1"/>
    <n v="42528"/>
    <x v="4"/>
    <s v="IVECO Eurocargo 180E/180E30/."/>
    <x v="10"/>
    <x v="3"/>
    <s v="KR HaZZ TN"/>
    <s v="OR HaZZ NM"/>
    <s v="HS Nové Mesto nad Váhom"/>
    <x v="2"/>
    <n v="27920565"/>
    <s v="SKK"/>
    <n v="926792.96952798241"/>
    <n v="26023"/>
    <n v="35914"/>
    <s v="zaradená do pohotovosti  - podvozková časť vozidla (technický stav) zodpovedá veku vozidla"/>
    <x v="0"/>
  </r>
  <r>
    <n v="1"/>
    <n v="42529"/>
    <x v="4"/>
    <s v="IVECO Eurocargo 180E/180E30/."/>
    <x v="10"/>
    <x v="3"/>
    <s v="KR HaZZ BA"/>
    <s v="OR HaZZ MA"/>
    <s v="HS Malacky"/>
    <x v="2"/>
    <n v="27920565"/>
    <s v="SKK"/>
    <n v="926792.96952798241"/>
    <n v="29312"/>
    <n v="115551"/>
    <s v="mimo výjazd"/>
    <x v="1"/>
  </r>
  <r>
    <n v="1"/>
    <n v="42534"/>
    <x v="4"/>
    <s v="IVECO 180E EUROCARGO H"/>
    <x v="10"/>
    <x v="3"/>
    <s v="KR HaZZ PO"/>
    <s v="OR HaZZ PP"/>
    <s v="HS Vysoké Tatry               "/>
    <x v="0"/>
    <n v="27920565"/>
    <s v="SKK"/>
    <n v="926792.96952798241"/>
    <n v="27358"/>
    <n v="23917"/>
    <s v="zaradená do pohotovosti  "/>
    <x v="0"/>
  </r>
  <r>
    <n v="1"/>
    <n v="42540"/>
    <x v="4"/>
    <s v="IVECO Eurocargo 180E/180E30/."/>
    <x v="10"/>
    <x v="3"/>
    <s v="KR HaZZ BB"/>
    <s v="OR HaZZ ZV"/>
    <s v="HS Detva"/>
    <x v="2"/>
    <n v="27920566"/>
    <s v="SKK"/>
    <n v="926793.00272190128"/>
    <n v="33974"/>
    <n v="96788"/>
    <s v="mimo prevádzky - bez výškovej nadstavby, používa sa iba ako AHZS, nutná oprava pätiek vozidla"/>
    <x v="1"/>
  </r>
  <r>
    <n v="1"/>
    <n v="42542"/>
    <x v="4"/>
    <s v="IVECO Eurocargo 180E/180E30/."/>
    <x v="10"/>
    <x v="3"/>
    <s v="KR HaZZ TN"/>
    <s v="OR HaZZ PB"/>
    <s v="HS Považská Bystrica"/>
    <x v="2"/>
    <n v="27920565"/>
    <s v="SKK"/>
    <n v="926792.96952798241"/>
    <n v="21455"/>
    <n v="112752"/>
    <s v="zaradená do pohotovosti  - podvozková časť vozidla (technický stav) zodpovedá veku vozidla"/>
    <x v="0"/>
  </r>
  <r>
    <n v="1"/>
    <n v="42506"/>
    <x v="4"/>
    <s v="IVECO Eurocargo 180E/180E30/."/>
    <x v="11"/>
    <x v="3"/>
    <s v="KR HaZZ KE"/>
    <s v="OR HaZZ TV"/>
    <s v="HS Trebišov"/>
    <x v="1"/>
    <n v="27920565"/>
    <s v="SKK"/>
    <n v="926792.96952798241"/>
    <n v="29483"/>
    <n v="127332"/>
    <s v="zaradená do pohotovosti  "/>
    <x v="0"/>
  </r>
  <r>
    <n v="1"/>
    <n v="42659"/>
    <x v="4"/>
    <s v="IVECO 180E EUROCARGO H"/>
    <x v="11"/>
    <x v="3"/>
    <s v="KR HaZZ TT"/>
    <s v="OR HaZZ SE"/>
    <s v="HS Senica   "/>
    <x v="2"/>
    <n v="28899662"/>
    <s v="SKK"/>
    <n v="959293.03591582016"/>
    <n v="19758"/>
    <n v="97147"/>
    <s v="mimo prevádzky - nedoliehanie kontaktov, sekanie, skladanie do núdzového stavu ..."/>
    <x v="1"/>
  </r>
  <r>
    <n v="1"/>
    <n v="42672"/>
    <x v="4"/>
    <s v="IVECO 180E EUROCARGO H"/>
    <x v="12"/>
    <x v="3"/>
    <s v="KR HaZZ PO"/>
    <s v="OR HaZZ SL"/>
    <s v="HS Stará Ľubovňa "/>
    <x v="2"/>
    <n v="28899662"/>
    <s v="EUR"/>
    <n v="28899662"/>
    <n v="25992"/>
    <n v="112287"/>
    <s v="zaradená do pohotovosti  "/>
    <x v="0"/>
  </r>
  <r>
    <n v="1"/>
    <n v="42675"/>
    <x v="4"/>
    <s v="IVECO Eurocargo 180E/180E30/."/>
    <x v="12"/>
    <x v="3"/>
    <s v="KR HaZZ ZA"/>
    <s v="OR HaZZ DK"/>
    <s v="HS Dolný Kubín"/>
    <x v="2"/>
    <n v="959293.04"/>
    <s v="EUR"/>
    <n v="959293.04"/>
    <n v="24347"/>
    <n v="133537"/>
    <s v="zaradená do pohotovosti  "/>
    <x v="0"/>
  </r>
  <r>
    <n v="1"/>
    <n v="42679"/>
    <x v="4"/>
    <s v="IVECO Eurocargo 180E/180E30/."/>
    <x v="12"/>
    <x v="3"/>
    <s v="KR HaZZ BB"/>
    <s v="OR HaZZ LC"/>
    <s v="HS Lučenec  "/>
    <x v="1"/>
    <n v="959293.04"/>
    <s v="EUR"/>
    <n v="959293.04"/>
    <n v="28160"/>
    <n v="34591"/>
    <s v="zaradená do pohotovosti  "/>
    <x v="0"/>
  </r>
  <r>
    <n v="1"/>
    <n v="42682"/>
    <x v="4"/>
    <s v="IVECO 180E EUROCARGO H"/>
    <x v="12"/>
    <x v="3"/>
    <s v="KR HaZZ KE"/>
    <s v="OR HaZZ KS"/>
    <s v="HS Moldava nad Bodvou"/>
    <x v="2"/>
    <n v="959293.03"/>
    <s v="EUR"/>
    <n v="959293.03"/>
    <n v="25572"/>
    <n v="135570"/>
    <s v="zaradená do pohotovosti  "/>
    <x v="0"/>
  </r>
  <r>
    <n v="1"/>
    <n v="42683"/>
    <x v="4"/>
    <s v="IVECO 180E EUROCARGO H"/>
    <x v="12"/>
    <x v="3"/>
    <s v="KR HaZZ PO"/>
    <s v="OR HaZZ HE"/>
    <s v="HS Humenné"/>
    <x v="1"/>
    <n v="959293.03"/>
    <s v="EUR"/>
    <n v="959293.03"/>
    <n v="18419"/>
    <n v="116719"/>
    <s v="zaradená do pohotovosti  "/>
    <x v="0"/>
  </r>
  <r>
    <n v="1"/>
    <n v="42684"/>
    <x v="4"/>
    <s v="IVECO EUROCARGO ML180E ML180E/ML180E30/."/>
    <x v="12"/>
    <x v="3"/>
    <s v="KR HaZZ PO"/>
    <s v="OR HaZZ SK"/>
    <s v="HS Svidník"/>
    <x v="2"/>
    <n v="959293.03"/>
    <s v="EUR"/>
    <n v="959293.03"/>
    <n v="25764"/>
    <n v="78154"/>
    <s v="mimo prevádzky - na servise v Nemecku reklamácia od 10 ročného servisu 2020"/>
    <x v="1"/>
  </r>
  <r>
    <n v="1"/>
    <n v="42685"/>
    <x v="4"/>
    <s v="IVECO EUROCARGO ML180E ML180E/ML180E30/."/>
    <x v="12"/>
    <x v="3"/>
    <s v="KR HaZZ BA"/>
    <s v="HaZÚ"/>
    <s v="HS 3 Bratislava-Nové Mesto (Hálkova)"/>
    <x v="3"/>
    <n v="959293.03"/>
    <s v="EUR"/>
    <n v="959293.03"/>
    <n v="62421"/>
    <n v="197744"/>
    <s v="mimo prevádzky"/>
    <x v="1"/>
  </r>
  <r>
    <n v="1"/>
    <n v="42849"/>
    <x v="6"/>
    <s v="MAN TGS 26.440 6x4 BB 26S/./."/>
    <x v="12"/>
    <x v="3"/>
    <s v="KR HaZZ BA"/>
    <s v="HaZÚ"/>
    <s v="HS 4 Bratislava-Dúbravka (Saratovská)"/>
    <x v="3"/>
    <n v="928699.8"/>
    <s v="EUR"/>
    <n v="928699.8"/>
    <n v="21161"/>
    <n v="449534"/>
    <s v="zaradená do pohotovosti  "/>
    <x v="0"/>
  </r>
  <r>
    <n v="1"/>
    <n v="42850"/>
    <x v="6"/>
    <s v="MAN TGS 26.440 6x4 BB 26S/./."/>
    <x v="12"/>
    <x v="3"/>
    <s v="KR HaZZ BB"/>
    <s v="OR HaZZ BB"/>
    <s v="HS Banská Bystrica "/>
    <x v="3"/>
    <n v="928699.8"/>
    <s v="EUR"/>
    <n v="928699.8"/>
    <n v="16269"/>
    <n v="333803"/>
    <s v="zaradená do pohotovosti  "/>
    <x v="0"/>
  </r>
  <r>
    <n v="1"/>
    <n v="42853"/>
    <x v="6"/>
    <s v="MAN TGS 26.440 6x4 BB 26S/-/."/>
    <x v="12"/>
    <x v="3"/>
    <s v="KR HaZZ KE"/>
    <s v="OR HaZZ KE"/>
    <s v="HS Košice-Požiarnická"/>
    <x v="3"/>
    <n v="928699.8"/>
    <s v="EUR"/>
    <n v="928699.8"/>
    <n v="19911"/>
    <n v="210692"/>
    <s v="zaradená do pohotovosti   - nerovnaká rýchlosť otáčania v oboch smeroch, rameno sa otáča aj pri uvolnení ovládača, pohyb ramena v uhloch 80 až 83,3 veľmi pomalý. "/>
    <x v="0"/>
  </r>
  <r>
    <n v="1"/>
    <n v="42859"/>
    <x v="6"/>
    <s v="MAN TGS 26.440 6x4 BB 26S"/>
    <x v="12"/>
    <x v="3"/>
    <s v="KR HaZZ TT"/>
    <s v="OR HaZZ TT"/>
    <s v="HS Trnava"/>
    <x v="3"/>
    <n v="928699.8"/>
    <s v="EUR"/>
    <n v="928699.8"/>
    <n v="24065"/>
    <n v="217964"/>
    <s v="mimo prevádzky  - od 24.1.2023 (plošina nespôsobilá na prevádzku - nutná oprava tesnenia valcov a výmena ložísk na valcoch oboch ľavých podpier, nutná výmena 2 ks ventilov na nádrži hydraulickej kvapaliny)"/>
    <x v="1"/>
  </r>
  <r>
    <n v="1"/>
    <n v="42860"/>
    <x v="6"/>
    <s v="MAN TGS 26.440 6x4 BB 26S"/>
    <x v="12"/>
    <x v="4"/>
    <s v="KR HaZZ ZA"/>
    <s v="OR HaZZ ZA"/>
    <s v="HS Žilina"/>
    <x v="3"/>
    <n v="928699.8"/>
    <s v="EUR"/>
    <n v="928699.8"/>
    <n v="9674"/>
    <n v="197830"/>
    <s v="zaradená do pohotovosti  "/>
    <x v="0"/>
  </r>
  <r>
    <n v="1"/>
    <n v="44133"/>
    <x v="4"/>
    <s v="IVECO EUROCARGO ML180E ML180E/ML180E30/-"/>
    <x v="13"/>
    <x v="4"/>
    <s v="KR HaZZ ZA"/>
    <s v="OR HaZZ ZA"/>
    <s v="HS Bytča"/>
    <x v="0"/>
    <n v="961354.33"/>
    <s v="EUR"/>
    <n v="961354.33"/>
    <n v="22553"/>
    <n v="17822"/>
    <s v="mimo prevádzky - na servise v zahraničí"/>
    <x v="1"/>
  </r>
  <r>
    <n v="1"/>
    <n v="44134"/>
    <x v="4"/>
    <s v="IVECO EUROCARGO ML180E ML180E/ML180E30/-"/>
    <x v="13"/>
    <x v="4"/>
    <s v="KR HaZZ BA"/>
    <s v="HaZÚ"/>
    <s v="HS 1 Bratislava-Staré Mesto (Radlinského)"/>
    <x v="3"/>
    <n v="961354.33"/>
    <s v="EUR"/>
    <n v="961354.33"/>
    <n v="32505"/>
    <n v="176671"/>
    <s v="mimo prevádzky - momentálne zaradené iba ako AHZS,výšková technika mimo výjazd z dôvodu absentujúceho 10 ročného servisu "/>
    <x v="1"/>
  </r>
  <r>
    <n v="1"/>
    <n v="44145"/>
    <x v="4"/>
    <s v="IVECO EUROCARGO ML180E ML180E/ML180E30/-"/>
    <x v="13"/>
    <x v="4"/>
    <s v="KR HaZZ NR"/>
    <s v="OR HaZZ ZM"/>
    <s v="HS Zlaté Moravce "/>
    <x v="2"/>
    <n v="961354.33"/>
    <s v="EUR"/>
    <n v="961354.33"/>
    <n v="14002"/>
    <n v="80589"/>
    <s v="zaradená do pohotovosti  "/>
    <x v="0"/>
  </r>
  <r>
    <n v="1"/>
    <n v="44140"/>
    <x v="4"/>
    <s v="IVECO EUROCARGO ML180E ML180E/ML180E30/-"/>
    <x v="14"/>
    <x v="4"/>
    <s v="KR HaZZ TN"/>
    <s v="OR HaZZ PD"/>
    <s v="HS Handlová"/>
    <x v="0"/>
    <n v="961354.33"/>
    <s v="EUR"/>
    <n v="961354.33"/>
    <n v="10774"/>
    <n v="15586"/>
    <s v="zaradená do pohotovosti  - podvozková časť vozidla (technický stav) zodpovedá veku vozidla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n v="1"/>
    <n v="44133"/>
    <s v="AHZS 1D Magirus Multistar Iveco Eurocargo"/>
    <s v="IVECO EUROCARGO ML180E ML180E/ML180E30/-"/>
    <n v="2012"/>
    <x v="0"/>
    <s v="KR HaZZ ZA"/>
    <s v="OR HaZZ ZA"/>
    <s v="HS Bytča"/>
    <s v="II"/>
    <n v="961354.33"/>
    <s v="EUR"/>
    <n v="961354.33"/>
    <n v="22553"/>
    <n v="17822"/>
    <s v="mimo prevádzky - na servise v zahraničí"/>
    <s v="mimo prevadzky"/>
    <s v="zaradena"/>
    <n v="11"/>
    <n v="2050.2727272727275"/>
  </r>
  <r>
    <n v="1"/>
    <n v="44134"/>
    <s v="AHZS 1D Magirus Multistar Iveco Eurocargo"/>
    <s v="IVECO EUROCARGO ML180E ML180E/ML180E30/-"/>
    <n v="2012"/>
    <x v="0"/>
    <s v="KR HaZZ BA"/>
    <s v="HaZÚ"/>
    <s v="HS 1 Bratislava-Staré Mesto (Radlinského)"/>
    <s v="V"/>
    <n v="961354.33"/>
    <s v="EUR"/>
    <n v="961354.33"/>
    <n v="32505"/>
    <n v="176671"/>
    <s v="mimo prevádzky - momentálne zaradené iba ako AHZS,výšková technika mimo výjazd z dôvodu absentujúceho 10 ročného servisu "/>
    <s v="mimo prevadzky"/>
    <s v="zaradena"/>
    <n v="11"/>
    <n v="2955"/>
  </r>
  <r>
    <n v="1"/>
    <n v="44145"/>
    <s v="AHZS 1D Magirus Multistar Iveco Eurocargo"/>
    <s v="IVECO EUROCARGO ML180E ML180E/ML180E30/-"/>
    <n v="2012"/>
    <x v="0"/>
    <s v="KR HaZZ NR"/>
    <s v="OR HaZZ ZM"/>
    <s v="HS Zlaté Moravce "/>
    <s v="III"/>
    <n v="961354.33"/>
    <s v="EUR"/>
    <n v="961354.33"/>
    <n v="14002"/>
    <n v="80589"/>
    <s v="zaradená do pohotovosti  "/>
    <s v="zaradena"/>
    <m/>
    <n v="11"/>
    <n v="1272.909090909091"/>
  </r>
  <r>
    <n v="1"/>
    <n v="44140"/>
    <s v="AHZS 1D Magirus Multistar Iveco Eurocargo"/>
    <s v="IVECO EUROCARGO ML180E ML180E/ML180E30/-"/>
    <n v="2013"/>
    <x v="0"/>
    <s v="KR HaZZ TN"/>
    <s v="OR HaZZ PD"/>
    <s v="HS Handlová"/>
    <s v="II"/>
    <n v="961354.33"/>
    <s v="EUR"/>
    <n v="961354.33"/>
    <n v="10774"/>
    <n v="15586"/>
    <s v="zaradená do pohotovosti  - podvozková časť vozidla (technický stav) zodpovedá veku vozidla"/>
    <s v="zaradena"/>
    <m/>
    <n v="10"/>
    <n v="1077.4000000000001"/>
  </r>
  <r>
    <n v="1"/>
    <n v="42675"/>
    <s v="AHZS 1D Magirus Multistar Iveco Eurocargo"/>
    <s v="IVECO Eurocargo 180E/180E30/."/>
    <n v="2009"/>
    <x v="1"/>
    <s v="KR HaZZ ZA"/>
    <s v="OR HaZZ DK"/>
    <s v="HS Dolný Kubín"/>
    <s v="III"/>
    <n v="959293.04"/>
    <s v="EUR"/>
    <n v="959293.04"/>
    <n v="24347"/>
    <n v="133537"/>
    <s v="zaradená do pohotovosti  "/>
    <s v="zaradena"/>
    <m/>
    <n v="14"/>
    <n v="1739.0714285714287"/>
  </r>
  <r>
    <n v="1"/>
    <n v="42679"/>
    <s v="AHZS 1D Magirus Multistar Iveco Eurocargo"/>
    <s v="IVECO Eurocargo 180E/180E30/."/>
    <n v="2009"/>
    <x v="1"/>
    <s v="KR HaZZ BB"/>
    <s v="OR HaZZ LC"/>
    <s v="HS Lučenec  "/>
    <s v="IV"/>
    <n v="959293.04"/>
    <s v="EUR"/>
    <n v="959293.04"/>
    <n v="28160"/>
    <n v="34591"/>
    <s v="zaradená do pohotovosti  "/>
    <s v="zaradena"/>
    <s v="zaradena"/>
    <n v="14"/>
    <n v="2011.4285714285713"/>
  </r>
  <r>
    <n v="1"/>
    <n v="42659"/>
    <s v="AHZS 1D Magirus Multistar Iveco Eurocargo"/>
    <s v="IVECO 180E EUROCARGO H"/>
    <n v="2008"/>
    <x v="1"/>
    <s v="KR HaZZ TT"/>
    <s v="OR HaZZ SE"/>
    <s v="HS Senica   "/>
    <s v="III"/>
    <n v="28899662"/>
    <s v="SKK"/>
    <n v="959293.03591582016"/>
    <n v="19758"/>
    <n v="97147"/>
    <s v="mimo prevádzky - nedoliehanie kontaktov, sekanie, skladanie do núdzového stavu ..."/>
    <s v="mimo prevadzky"/>
    <s v="zaradena"/>
    <n v="15"/>
    <n v="1317.2"/>
  </r>
  <r>
    <n v="1"/>
    <n v="42672"/>
    <s v="AHZS 1D Magirus Multistar Iveco Eurocargo"/>
    <s v="IVECO 180E EUROCARGO H"/>
    <n v="2009"/>
    <x v="1"/>
    <s v="KR HaZZ PO"/>
    <s v="OR HaZZ SL"/>
    <s v="HS Stará Ľubovňa "/>
    <s v="III"/>
    <n v="28899662"/>
    <s v="EUR"/>
    <n v="959293.03591582016"/>
    <n v="25992"/>
    <n v="112287"/>
    <s v="zaradená do pohotovosti  "/>
    <s v="zaradena"/>
    <s v="zaradena"/>
    <n v="14"/>
    <n v="1856.5714285714287"/>
  </r>
  <r>
    <n v="1"/>
    <n v="42682"/>
    <s v="AHZS 1D Magirus Multistar Iveco Eurocargo"/>
    <s v="IVECO 180E EUROCARGO H"/>
    <n v="2009"/>
    <x v="1"/>
    <s v="KR HaZZ KE"/>
    <s v="OR HaZZ KS"/>
    <s v="HS Moldava nad Bodvou"/>
    <s v="III"/>
    <n v="959293.03"/>
    <s v="EUR"/>
    <n v="959293.03"/>
    <n v="25572"/>
    <n v="135570"/>
    <s v="zaradená do pohotovosti  "/>
    <s v="zaradena"/>
    <s v="zaradena"/>
    <n v="14"/>
    <n v="1826.5714285714287"/>
  </r>
  <r>
    <n v="1"/>
    <n v="42683"/>
    <s v="AHZS 1D Magirus Multistar Iveco Eurocargo"/>
    <s v="IVECO 180E EUROCARGO H"/>
    <n v="2009"/>
    <x v="1"/>
    <s v="KR HaZZ PO"/>
    <s v="OR HaZZ HE"/>
    <s v="HS Humenné"/>
    <s v="IV"/>
    <n v="959293.03"/>
    <s v="EUR"/>
    <n v="959293.03"/>
    <n v="18419"/>
    <n v="116719"/>
    <s v="zaradená do pohotovosti  "/>
    <s v="zaradena"/>
    <s v="zaradena"/>
    <n v="14"/>
    <n v="1315.6428571428571"/>
  </r>
  <r>
    <n v="1"/>
    <n v="42684"/>
    <s v="AHZS 1D Magirus Multistar Iveco Eurocargo"/>
    <s v="IVECO EUROCARGO ML180E ML180E/ML180E30/."/>
    <n v="2009"/>
    <x v="1"/>
    <s v="KR HaZZ PO"/>
    <s v="OR HaZZ SK"/>
    <s v="HS Svidník"/>
    <s v="III"/>
    <n v="959293.03"/>
    <s v="EUR"/>
    <n v="959293.03"/>
    <n v="25764"/>
    <n v="78154"/>
    <s v="mimo prevádzky - na servise v Nemecku reklamácia od 10 ročného servisu 2020"/>
    <s v="mimo prevadzky"/>
    <m/>
    <n v="14"/>
    <n v="1840.2857142857142"/>
  </r>
  <r>
    <n v="1"/>
    <n v="42685"/>
    <s v="AHZS 1D Magirus Multistar Iveco Eurocargo"/>
    <s v="IVECO EUROCARGO ML180E ML180E/ML180E30/."/>
    <n v="2009"/>
    <x v="1"/>
    <s v="KR HaZZ BA"/>
    <s v="HaZÚ"/>
    <s v="HS 3 Bratislava-Nové Mesto (Hálkova)"/>
    <s v="V"/>
    <n v="959293.03"/>
    <s v="EUR"/>
    <n v="959293.03"/>
    <n v="62421"/>
    <n v="197744"/>
    <s v="mimo prevádzky"/>
    <s v="mimo prevadzky"/>
    <s v="zaradena"/>
    <n v="14"/>
    <n v="4458.6428571428569"/>
  </r>
  <r>
    <n v="1"/>
    <n v="42849"/>
    <s v="AP F44 RLX Bronto Skylift MAN TGS"/>
    <s v="MAN TGS 26.440 6x4 BB 26S/./."/>
    <n v="2009"/>
    <x v="1"/>
    <s v="KR HaZZ BA"/>
    <s v="HaZÚ"/>
    <s v="HS 4 Bratislava-Dúbravka (Saratovská)"/>
    <s v="V"/>
    <n v="928699.8"/>
    <s v="EUR"/>
    <n v="928699.8"/>
    <n v="21161"/>
    <n v="449534"/>
    <s v="zaradená do pohotovosti  "/>
    <s v="zaradena"/>
    <s v="zaradena"/>
    <n v="14"/>
    <n v="1511.5"/>
  </r>
  <r>
    <n v="1"/>
    <n v="42850"/>
    <s v="AP F44 RLX Bronto Skylift MAN TGS"/>
    <s v="MAN TGS 26.440 6x4 BB 26S/./."/>
    <n v="2009"/>
    <x v="1"/>
    <s v="KR HaZZ BB"/>
    <s v="OR HaZZ BB"/>
    <s v="HS Banská Bystrica "/>
    <s v="V"/>
    <n v="928699.8"/>
    <s v="EUR"/>
    <n v="928699.8"/>
    <n v="16269"/>
    <n v="333803"/>
    <s v="zaradená do pohotovosti  "/>
    <s v="zaradena"/>
    <s v="zaradena"/>
    <n v="14"/>
    <n v="1162.0714285714287"/>
  </r>
  <r>
    <n v="1"/>
    <n v="42853"/>
    <s v="AP F44 RLX Bronto Skylift MAN TGS"/>
    <s v="MAN TGS 26.440 6x4 BB 26S/-/."/>
    <n v="2009"/>
    <x v="1"/>
    <s v="KR HaZZ KE"/>
    <s v="OR HaZZ KE"/>
    <s v="HS Košice-Požiarnická"/>
    <s v="V"/>
    <n v="928699.8"/>
    <s v="EUR"/>
    <n v="928699.8"/>
    <n v="19911"/>
    <n v="210692"/>
    <s v="zaradená do pohotovosti   - nerovnaká rýchlosť otáčania v oboch smeroch, rameno sa otáča aj pri uvolnení ovládača, pohyb ramena v uhloch 80 až 83,3 veľmi pomalý. "/>
    <s v="zaradena"/>
    <s v="zaradena"/>
    <n v="14"/>
    <n v="1422.2142857142858"/>
  </r>
  <r>
    <n v="1"/>
    <n v="42859"/>
    <s v="AP F44 RLX Bronto Skylift MAN TGS"/>
    <s v="MAN TGS 26.440 6x4 BB 26S"/>
    <n v="2009"/>
    <x v="1"/>
    <s v="KR HaZZ TT"/>
    <s v="OR HaZZ TT"/>
    <s v="HS Trnava"/>
    <s v="V"/>
    <n v="928699.8"/>
    <s v="EUR"/>
    <n v="928699.8"/>
    <n v="24065"/>
    <n v="217964"/>
    <s v="mimo prevádzky  - od 24.1.2023 (plošina nespôsobilá na prevádzku - nutná oprava tesnenia valcov a výmena ložísk na valcoch oboch ľavých podpier, nutná výmena 2 ks ventilov na nádrži hydraulickej kvapaliny)"/>
    <s v="mimo prevadzky"/>
    <s v="zaradena"/>
    <n v="14"/>
    <n v="1718.9285714285713"/>
  </r>
  <r>
    <n v="1"/>
    <n v="42860"/>
    <s v="AP F44 RLX Bronto Skylift MAN TGS"/>
    <s v="MAN TGS 26.440 6x4 BB 26S"/>
    <n v="2009"/>
    <x v="0"/>
    <s v="KR HaZZ ZA"/>
    <s v="OR HaZZ ZA"/>
    <s v="HS Žilina"/>
    <s v="V"/>
    <n v="928699.8"/>
    <s v="EUR"/>
    <n v="928699.8"/>
    <n v="9674"/>
    <n v="197830"/>
    <s v="zaradená do pohotovosti  "/>
    <s v="zaradena"/>
    <s v="zaradena"/>
    <n v="14"/>
    <n v="691"/>
  </r>
  <r>
    <n v="1"/>
    <n v="42540"/>
    <s v="AHZS 1D Magirus Multistar Iveco Eurocargo"/>
    <s v="IVECO Eurocargo 180E/180E30/."/>
    <n v="2007"/>
    <x v="1"/>
    <s v="KR HaZZ BB"/>
    <s v="OR HaZZ ZV"/>
    <s v="HS Detva"/>
    <s v="III"/>
    <n v="27920566"/>
    <s v="SKK"/>
    <n v="926793.00272190128"/>
    <n v="33974"/>
    <n v="96788"/>
    <s v="mimo prevádzky - bez výškovej nadstavby, používa sa iba ako AHZS, nutná oprava pätiek vozidla"/>
    <s v="mimo prevadzky"/>
    <s v="zaradena"/>
    <n v="16"/>
    <n v="2123.375"/>
  </r>
  <r>
    <n v="1"/>
    <n v="42543"/>
    <s v="AHZS 1D Magirus Multistar Iveco Eurocargo"/>
    <s v="IVECO 180E EUROCARGO H"/>
    <n v="2003"/>
    <x v="1"/>
    <s v="KR HaZZ NR"/>
    <s v="OR HaZZ NZ"/>
    <s v="HS Štúrovo"/>
    <s v="II"/>
    <n v="27920565"/>
    <s v="SKK"/>
    <n v="926792.96952798241"/>
    <n v="24595"/>
    <n v="28238"/>
    <s v="zaradená do pohotovosti  "/>
    <s v="zaradena"/>
    <s v="zaradena"/>
    <n v="20"/>
    <n v="1229.75"/>
  </r>
  <r>
    <n v="1"/>
    <n v="42482"/>
    <s v="AHZS 1D Magirus Multistar Iveco Eurocargo"/>
    <s v="IVECO Eurocargo 180E/180E30/."/>
    <n v="2007"/>
    <x v="1"/>
    <s v="KR HaZZ KE"/>
    <s v="OR HaZZ SN"/>
    <s v="HS Spišská Nová Ves"/>
    <s v="IV"/>
    <n v="27920565"/>
    <s v="SKK"/>
    <n v="926792.96952798241"/>
    <n v="32446"/>
    <n v="87989"/>
    <s v="zaradená do pohotovosti  - sporadicky sa vyskytujúca porucha stabilizácie vozidla,"/>
    <s v="zaradena"/>
    <s v="zaradena"/>
    <n v="16"/>
    <n v="2027.875"/>
  </r>
  <r>
    <n v="1"/>
    <n v="42509"/>
    <s v="AHZS 1D Magirus Multistar Iveco Eurocargo"/>
    <s v="IVECO Eurocargo 180E/180E30/."/>
    <n v="2007"/>
    <x v="1"/>
    <s v="KR HaZZ TT"/>
    <s v="OR HaZZ PN"/>
    <s v="HS Piešťany  "/>
    <s v="III"/>
    <n v="27920565"/>
    <s v="SKK"/>
    <n v="926792.96952798241"/>
    <n v="24961"/>
    <n v="86893"/>
    <s v="mimo prevádzky - prevodovka, nutná rekonštrukcia (aj náhonu od prevodovky a podvozkovej časti)"/>
    <s v="mimo prevadzky"/>
    <m/>
    <n v="16"/>
    <n v="1560.0625"/>
  </r>
  <r>
    <n v="1"/>
    <n v="42511"/>
    <s v="AHZS 1D Magirus Multistar Iveco Eurocargo"/>
    <s v="IVECO Eurocargo 180E/180E30/."/>
    <n v="2007"/>
    <x v="1"/>
    <s v="KR HaZZ BB"/>
    <s v="OR HaZZ VK"/>
    <s v="HS Modrý Kameň"/>
    <s v="III"/>
    <n v="27920565"/>
    <s v="SKK"/>
    <n v="926792.96952798241"/>
    <n v="38636"/>
    <n v="106491"/>
    <s v="zaradená do pohotovosti  "/>
    <s v="zaradena"/>
    <s v="zaradena"/>
    <n v="16"/>
    <n v="2414.75"/>
  </r>
  <r>
    <n v="1"/>
    <n v="42524"/>
    <s v="AHZS 1D Magirus Multistar Iveco Eurocargo"/>
    <s v="IVECO 180E EUROCARGO H"/>
    <n v="2007"/>
    <x v="1"/>
    <s v="KR HaZZ BB"/>
    <s v="OR HaZZ ZH"/>
    <s v="HS Žiar nad Hronom  "/>
    <s v="III"/>
    <n v="27920565"/>
    <s v="SKK"/>
    <n v="926792.96952798241"/>
    <n v="46677"/>
    <n v="34389"/>
    <s v="mimo prevádzky"/>
    <s v="mimo prevadzky"/>
    <m/>
    <n v="16"/>
    <n v="2917.3125"/>
  </r>
  <r>
    <n v="1"/>
    <n v="42525"/>
    <s v="AHZS 1D Magirus Multistar Iveco Eurocargo"/>
    <s v="IVECO 180E EUROCARGO H"/>
    <n v="2007"/>
    <x v="1"/>
    <s v="KR HaZZ NR"/>
    <s v="OR HaZZ TO"/>
    <s v="HS Topoľčany"/>
    <s v="III"/>
    <n v="27920565"/>
    <s v="SKK"/>
    <n v="926792.96952798241"/>
    <n v="6429"/>
    <n v="276936"/>
    <s v="zaradená do pohotovosti  "/>
    <s v="zaradena"/>
    <s v="zaradena"/>
    <n v="16"/>
    <n v="401.8125"/>
  </r>
  <r>
    <n v="1"/>
    <n v="42528"/>
    <s v="AHZS 1D Magirus Multistar Iveco Eurocargo"/>
    <s v="IVECO Eurocargo 180E/180E30/."/>
    <n v="2007"/>
    <x v="1"/>
    <s v="KR HaZZ TN"/>
    <s v="OR HaZZ NM"/>
    <s v="HS Nové Mesto nad Váhom"/>
    <s v="III"/>
    <n v="27920565"/>
    <s v="SKK"/>
    <n v="926792.96952798241"/>
    <n v="26023"/>
    <n v="35914"/>
    <s v="zaradená do pohotovosti  - podvozková časť vozidla (technický stav) zodpovedá veku vozidla"/>
    <s v="zaradena"/>
    <s v="zaradena"/>
    <n v="16"/>
    <n v="1626.4375"/>
  </r>
  <r>
    <n v="1"/>
    <n v="42529"/>
    <s v="AHZS 1D Magirus Multistar Iveco Eurocargo"/>
    <s v="IVECO Eurocargo 180E/180E30/."/>
    <n v="2007"/>
    <x v="1"/>
    <s v="KR HaZZ BA"/>
    <s v="OR HaZZ MA"/>
    <s v="HS Malacky"/>
    <s v="III"/>
    <n v="27920565"/>
    <s v="SKK"/>
    <n v="926792.96952798241"/>
    <n v="29312"/>
    <n v="115551"/>
    <s v="mimo výjazd"/>
    <s v="mimo prevadzky"/>
    <m/>
    <n v="16"/>
    <n v="1832"/>
  </r>
  <r>
    <n v="1"/>
    <n v="42534"/>
    <s v="AHZS 1D Magirus Multistar Iveco Eurocargo"/>
    <s v="IVECO 180E EUROCARGO H"/>
    <n v="2007"/>
    <x v="1"/>
    <s v="KR HaZZ PO"/>
    <s v="OR HaZZ PP"/>
    <s v="HS Vysoké Tatry               "/>
    <s v="II"/>
    <n v="27920565"/>
    <s v="SKK"/>
    <n v="926792.96952798241"/>
    <n v="27358"/>
    <n v="23917"/>
    <s v="zaradená do pohotovosti  "/>
    <s v="zaradena"/>
    <s v="zaradena"/>
    <n v="16"/>
    <n v="1709.875"/>
  </r>
  <r>
    <n v="1"/>
    <n v="42542"/>
    <s v="AHZS 1D Magirus Multistar Iveco Eurocargo"/>
    <s v="IVECO Eurocargo 180E/180E30/."/>
    <n v="2007"/>
    <x v="1"/>
    <s v="KR HaZZ TN"/>
    <s v="OR HaZZ PB"/>
    <s v="HS Považská Bystrica"/>
    <s v="III"/>
    <n v="27920565"/>
    <s v="SKK"/>
    <n v="926792.96952798241"/>
    <n v="21455"/>
    <n v="112752"/>
    <s v="zaradená do pohotovosti  - podvozková časť vozidla (technický stav) zodpovedá veku vozidla"/>
    <s v="zaradena"/>
    <m/>
    <n v="16"/>
    <n v="1340.9375"/>
  </r>
  <r>
    <n v="1"/>
    <n v="42506"/>
    <s v="AHZS 1D Magirus Multistar Iveco Eurocargo"/>
    <s v="IVECO Eurocargo 180E/180E30/."/>
    <n v="2008"/>
    <x v="1"/>
    <s v="KR HaZZ KE"/>
    <s v="OR HaZZ TV"/>
    <s v="HS Trebišov"/>
    <s v="IV"/>
    <n v="27920565"/>
    <s v="SKK"/>
    <n v="926792.96952798241"/>
    <n v="29483"/>
    <n v="127332"/>
    <s v="zaradená do pohotovosti  "/>
    <s v="zaradena"/>
    <s v="zaradena"/>
    <n v="15"/>
    <n v="1965.5333333333333"/>
  </r>
  <r>
    <n v="1"/>
    <n v="42247"/>
    <s v="AP F42 RL Bronto Skylift MB Actros "/>
    <s v="MERCEDES BENZ ACTROS 2641 H"/>
    <n v="2004"/>
    <x v="1"/>
    <s v="KR HaZZ PO"/>
    <s v="OR HaZZ PO"/>
    <s v="HS Prešov "/>
    <s v="V"/>
    <n v="27400000"/>
    <s v="SKK"/>
    <n v="909513.37714930624"/>
    <n v="21095"/>
    <n v="197267"/>
    <s v="zaradená do pohotovosti  "/>
    <s v="zaradena"/>
    <s v="zaradena"/>
    <n v="19"/>
    <n v="1110.2631578947369"/>
  </r>
  <r>
    <n v="1"/>
    <n v="42249"/>
    <s v="AP F42 RL Bronto Skylift MB Actros "/>
    <s v="MERCEDES BENZ ACTROS 2641 H"/>
    <n v="2004"/>
    <x v="1"/>
    <s v="KR HaZZ NR"/>
    <s v="OR HaZZ NR"/>
    <s v="HS Nitra"/>
    <s v="V"/>
    <n v="27400000"/>
    <s v="SKK"/>
    <n v="909513.37714930624"/>
    <n v="5462"/>
    <n v="202871"/>
    <s v="zaradená do pohotovosti  "/>
    <s v="zaradena"/>
    <m/>
    <n v="19"/>
    <n v="287.4736842105263"/>
  </r>
  <r>
    <n v="1"/>
    <n v="60693"/>
    <s v="AP 40-2T1 Bronto Skylift T 815 "/>
    <s v="TATRA T 815BRONTOSKYLIFT H"/>
    <n v="1990"/>
    <x v="2"/>
    <s v="KR HaZZ TT"/>
    <s v="OR HaZZ SE"/>
    <s v="HS Senica   "/>
    <s v="III"/>
    <n v="19806869.5"/>
    <s v="SKK"/>
    <n v="657467.61933213833"/>
    <n v="19351"/>
    <n v="152871"/>
    <s v="mimo prevádzky - dlhodobo mimo prevádzky, pri odbornej prehliadke zistené nedostatky: prasknuté zvary, nefunkčný suchovod, poškodené hadice, padajúci kôš, únik oleja z podvozkovej aj nadstavbovej časti"/>
    <s v="mimo prevadzky"/>
    <s v="zaradena"/>
    <n v="33"/>
    <n v="586.39393939393938"/>
  </r>
  <r>
    <n v="1"/>
    <n v="42176"/>
    <s v="AP 50-2T1 Bronto Skylift T 815 "/>
    <s v="TATRA BRONTO-SKYLIFT 50-2T1 T 815 PJ 36 208 8X8.1/"/>
    <n v="1987"/>
    <x v="3"/>
    <s v="Zariadenie zboru"/>
    <s v="VC HaZZ Lešť"/>
    <s v="Výcvikové centrum HaZZ Lešť + HS Pliešovce"/>
    <s v="IV"/>
    <n v="9639157.8800000008"/>
    <s v="SKK"/>
    <n v="319961.4246829981"/>
    <n v="14846"/>
    <n v="37022"/>
    <s v="mimo prevádzky -  technika zaradená dlhodobo mimoprevádzky, v procese vyradenia"/>
    <s v="mimo prevadzky"/>
    <s v="zaradena"/>
    <n v="36"/>
    <n v="412.38888888888891"/>
  </r>
  <r>
    <n v="1"/>
    <n v="60578"/>
    <s v="AP 27 SUB T 815"/>
    <s v="TATRA T 815 PP-27-2 SUB H"/>
    <n v="1985"/>
    <x v="3"/>
    <s v="KR HaZZ KE"/>
    <s v="OR HaZZ SN"/>
    <s v="HS Krompachy"/>
    <s v="II"/>
    <n v="4460370"/>
    <s v="SKK"/>
    <n v="148057.15992830112"/>
    <n v="27543"/>
    <n v="38179"/>
    <s v="zaradená do pohotovosti  - opakovaný únik motorového a hydraulického oleja z podvozku, nízka prevádzkova spoľahlivosť"/>
    <s v="zaradena"/>
    <s v="zaradena"/>
    <n v="38"/>
    <n v="724.81578947368416"/>
  </r>
  <r>
    <n v="1"/>
    <n v="60500"/>
    <s v="AP 27 SUB T 815"/>
    <s v="TATRA T 815 PP-27-2 SUB H"/>
    <n v="1990"/>
    <x v="2"/>
    <s v="KR HaZZ KE"/>
    <s v="OR HaZZ TV"/>
    <s v="HS Kráľovský Chlmec"/>
    <s v="II"/>
    <n v="1500000"/>
    <s v="SKK"/>
    <n v="49790.878311093409"/>
    <n v="12584"/>
    <n v="39986"/>
    <s v="zaradená do pohotovosti  - stav primeraný k veku nadstavby, častá poruchovosť, nízka prevádzkova spoľahlivosť"/>
    <s v="zaradena"/>
    <s v="zaradena"/>
    <n v="33"/>
    <n v="381.33333333333331"/>
  </r>
  <r>
    <n v="1"/>
    <n v="60532"/>
    <s v="AP 27 SUB T 815"/>
    <s v="TATRA T 815 PP-27-2 SUB H"/>
    <n v="1991"/>
    <x v="2"/>
    <s v="KR HaZZ KE"/>
    <s v="OR HaZZ SN"/>
    <s v="HS Spišská Nová Ves"/>
    <s v="IV"/>
    <n v="1480000"/>
    <s v="SKK"/>
    <n v="49126.999933612162"/>
    <n v="18357"/>
    <n v="29336"/>
    <s v="zaradená do pohotovosti  - opakovaný únik motorového a hydraulického oleja z podvozku, skorodovaný podvozok a nadstavba, vozidlo vekom opotrebované  "/>
    <s v="zaradena"/>
    <s v="zaradena"/>
    <n v="32"/>
    <n v="573.65625"/>
  </r>
  <r>
    <n v="1"/>
    <n v="61441"/>
    <s v="AP 27 SUB T 148"/>
    <s v="TATRA T 148 P SUB PVP 27 H"/>
    <n v="1975"/>
    <x v="4"/>
    <s v="KR HaZZ KE"/>
    <s v="OR HaZZ TV"/>
    <s v="HS Kráľovský Chlmec"/>
    <s v="II"/>
    <n v="1200000"/>
    <s v="SKK"/>
    <n v="39832.702648874721"/>
    <n v="25391"/>
    <n v="32393"/>
    <s v="zaradená do pohotovosti  - častá poruchovosť elektroinštalácie nadstavby, únik hydraulického oleja, samovoľné vysúvanie pätiek, zastaranosť, nízka prevádzkova spoľahlivosť"/>
    <s v="zaradena"/>
    <m/>
    <n v="48"/>
    <n v="528.97916666666663"/>
  </r>
  <r>
    <n v="1"/>
    <n v="61018"/>
    <s v="AP 27 SUB T 815"/>
    <s v="TATRA T 815 PP-27-2 SUB H"/>
    <n v="1988"/>
    <x v="3"/>
    <s v="KR HaZZ NR"/>
    <s v="OR HaZZ NR"/>
    <s v="HS Vráble"/>
    <s v="II"/>
    <n v="827903"/>
    <s v="SKK"/>
    <n v="27481.345017592776"/>
    <n v="14525"/>
    <n v="59575"/>
    <s v="mimo prevádzky"/>
    <s v="mimo prevadzky"/>
    <m/>
    <n v="35"/>
    <n v="415"/>
  </r>
  <r>
    <n v="1"/>
    <n v="60527"/>
    <s v="AP 27 SUB T 815"/>
    <s v="TATRA T 815 PP-27-2 SUB H"/>
    <n v="1987"/>
    <x v="3"/>
    <s v="KR HaZZ KE"/>
    <s v="OR HaZZ MI"/>
    <s v="HS Sobrance"/>
    <s v="II"/>
    <n v="823513"/>
    <s v="SKK"/>
    <n v="27335.623713735644"/>
    <n v="21180"/>
    <n v="35182"/>
    <s v="mimo prevádzky - veľmi častá poruchovosť, nízka prevádzkova spoľahlivosť"/>
    <s v="mimo prevadzky"/>
    <s v="zaradena"/>
    <n v="36"/>
    <n v="588.33333333333337"/>
  </r>
  <r>
    <n v="1"/>
    <n v="60452"/>
    <s v="AP 27 SUB T 815"/>
    <s v="TATRA T 815 SUB PP27-2/./."/>
    <n v="1989"/>
    <x v="3"/>
    <s v="KR HaZZ BB"/>
    <s v="OR HaZZ BR"/>
    <s v="HS Brezno"/>
    <s v="III"/>
    <n v="758010"/>
    <s v="SKK"/>
    <n v="25161.322445727943"/>
    <n v="26722"/>
    <n v="28756"/>
    <s v="zaradená do pohotovosti  "/>
    <s v="zaradena"/>
    <s v="zaradena"/>
    <n v="34"/>
    <n v="785.94117647058829"/>
  </r>
  <r>
    <n v="1"/>
    <n v="60517"/>
    <s v="AP 27 SUB T 815"/>
    <s v="TATRA T 815 PP-27-2 SUB H"/>
    <n v="1990"/>
    <x v="2"/>
    <s v="KR HaZZ KE"/>
    <s v="OR HaZZ RV"/>
    <s v="HS Rožňava"/>
    <s v="IV"/>
    <n v="755010"/>
    <s v="SKK"/>
    <n v="25061.740689105754"/>
    <n v="19773"/>
    <n v="32437"/>
    <s v="zaradená do pohotovosti  - stav primeraný k veku nadstavby, častá poruchovosť, nízka prevádzkova spoľahlivosť,  "/>
    <s v="zaradena"/>
    <s v="zaradena"/>
    <n v="33"/>
    <n v="599.18181818181813"/>
  </r>
  <r>
    <n v="1"/>
    <n v="60646"/>
    <s v="AP 27 SUB T 815"/>
    <s v="TATRA T 815 PP-27-2 SUB H"/>
    <n v="1990"/>
    <x v="2"/>
    <s v="KR HaZZ TT"/>
    <s v="OR HaZZ SI"/>
    <s v="HS Holíč"/>
    <s v="III"/>
    <n v="755010"/>
    <s v="SKK"/>
    <n v="25061.740689105754"/>
    <n v="15981"/>
    <n v="51553"/>
    <s v="zaradená do pohotovosti  "/>
    <s v="zaradena"/>
    <m/>
    <n v="33"/>
    <n v="484.27272727272725"/>
  </r>
  <r>
    <n v="1"/>
    <n v="60687"/>
    <s v="AP 27 SUB T 815"/>
    <s v="TATRA T 815 PP-27-2 SUB H"/>
    <n v="1990"/>
    <x v="2"/>
    <s v="KR HaZZ TT"/>
    <s v="OR HaZZ GA"/>
    <s v="HS Galanta "/>
    <s v="III"/>
    <n v="755010"/>
    <s v="SKK"/>
    <n v="25061.740689105754"/>
    <n v="15559"/>
    <n v="38677"/>
    <s v="zaradená do pohotovosti  "/>
    <s v="zaradena"/>
    <s v="zaradena"/>
    <n v="33"/>
    <n v="471.4848484848485"/>
  </r>
  <r>
    <n v="1"/>
    <n v="60715"/>
    <s v="AP 27 SUB T 815"/>
    <s v="TATRA T 815 SUB PP27-2/./."/>
    <n v="1990"/>
    <x v="2"/>
    <s v="Zariadenie zboru"/>
    <s v="VC HaZZ Lešť"/>
    <s v="Výcvikové centrum HaZZ Lešť + HS Pliešovce"/>
    <s v="IV"/>
    <n v="755010"/>
    <s v="SKK"/>
    <n v="25061.740689105754"/>
    <n v="10925"/>
    <n v="32307"/>
    <s v="zaradená do pohotovosti  "/>
    <s v="zaradena"/>
    <m/>
    <n v="33"/>
    <n v="331.06060606060606"/>
  </r>
  <r>
    <n v="1"/>
    <n v="60903"/>
    <s v="AP 27 SUB T 815"/>
    <s v="TATRA T 815 SUB PP27-2/./."/>
    <n v="1990"/>
    <x v="2"/>
    <s v="KR HaZZ BB"/>
    <s v="OR HaZZ ZH"/>
    <s v="HS Banská Štiavnica"/>
    <s v="II"/>
    <n v="755010"/>
    <s v="SKK"/>
    <n v="25061.740689105754"/>
    <n v="11962"/>
    <n v="37757"/>
    <s v="zaradená do pohotovosti  "/>
    <s v="zaradena"/>
    <m/>
    <n v="33"/>
    <n v="362.4848484848485"/>
  </r>
  <r>
    <n v="1"/>
    <n v="61311"/>
    <s v="AP 27 SUB T 815"/>
    <s v="TATRA T 815 PP-27-2 SUB H"/>
    <n v="1990"/>
    <x v="2"/>
    <s v="KR HaZZ ZA"/>
    <s v="OR HaZZ CA"/>
    <s v="HS Turzovka"/>
    <s v="II"/>
    <n v="755010"/>
    <s v="SKK"/>
    <n v="25061.740689105754"/>
    <n v="15602"/>
    <n v="32866"/>
    <s v="zaradená do pohotovosti  "/>
    <s v="zaradena"/>
    <s v="zaradena"/>
    <n v="33"/>
    <n v="472.78787878787881"/>
  </r>
  <r>
    <n v="1"/>
    <n v="60004"/>
    <s v="AP 27 SUB T 815"/>
    <s v="TATRA T 815 PP-27-2 H"/>
    <n v="1992"/>
    <x v="2"/>
    <s v="Zariadenie zboru"/>
    <s v="ZB HaZZ MA"/>
    <s v="Záchranná brigáda Malacky"/>
    <s v="V"/>
    <n v="642800"/>
    <s v="SKK"/>
    <n v="21337.051052247229"/>
    <n v="19380"/>
    <n v="58503"/>
    <s v="zaradená do pohotovosti  "/>
    <s v="zaradena"/>
    <s v="zaradena"/>
    <n v="31"/>
    <n v="625.1612903225806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">
  <r>
    <s v="HS Bytča"/>
    <x v="0"/>
    <n v="961354.33"/>
    <s v="EUR"/>
    <n v="961354.33"/>
    <n v="22553"/>
    <n v="17822"/>
    <s v="mimo prevádzky - na servise v zahraničí"/>
    <s v="mimo prevadzky"/>
    <s v="zaradena"/>
    <n v="11"/>
    <n v="2050.2727272727275"/>
  </r>
  <r>
    <s v="HS 1 Bratislava-Staré Mesto (Radlinského)"/>
    <x v="1"/>
    <n v="961354.33"/>
    <s v="EUR"/>
    <n v="961354.33"/>
    <n v="32505"/>
    <n v="176671"/>
    <s v="mimo prevádzky - momentálne zaradené iba ako AHZS,výšková technika mimo výjazd z dôvodu absentujúceho 10 ročného servisu "/>
    <s v="mimo prevadzky"/>
    <s v="zaradena"/>
    <n v="11"/>
    <n v="2955"/>
  </r>
  <r>
    <s v="HS Zlaté Moravce "/>
    <x v="2"/>
    <n v="961354.33"/>
    <s v="EUR"/>
    <n v="961354.33"/>
    <n v="14002"/>
    <n v="80589"/>
    <s v="zaradená do pohotovosti  "/>
    <s v="zaradena"/>
    <m/>
    <n v="11"/>
    <n v="1272.909090909091"/>
  </r>
  <r>
    <s v="HS Handlová"/>
    <x v="0"/>
    <n v="961354.33"/>
    <s v="EUR"/>
    <n v="961354.33"/>
    <n v="10774"/>
    <n v="15586"/>
    <s v="zaradená do pohotovosti  - podvozková časť vozidla (technický stav) zodpovedá veku vozidla"/>
    <s v="zaradena"/>
    <m/>
    <n v="10"/>
    <n v="1077.4000000000001"/>
  </r>
  <r>
    <s v="HS Dolný Kubín"/>
    <x v="2"/>
    <n v="959293.04"/>
    <s v="EUR"/>
    <n v="959293.04"/>
    <n v="24347"/>
    <n v="133537"/>
    <s v="zaradená do pohotovosti  "/>
    <s v="zaradena"/>
    <m/>
    <n v="14"/>
    <n v="1739.0714285714287"/>
  </r>
  <r>
    <s v="HS Lučenec  "/>
    <x v="3"/>
    <n v="959293.04"/>
    <s v="EUR"/>
    <n v="959293.04"/>
    <n v="28160"/>
    <n v="34591"/>
    <s v="zaradená do pohotovosti  "/>
    <s v="zaradena"/>
    <s v="zaradena"/>
    <n v="14"/>
    <n v="2011.4285714285713"/>
  </r>
  <r>
    <s v="HS Senica   "/>
    <x v="2"/>
    <n v="28899662"/>
    <s v="SKK"/>
    <n v="959293.03591582016"/>
    <n v="19758"/>
    <n v="97147"/>
    <s v="mimo prevádzky - nedoliehanie kontaktov, sekanie, skladanie do núdzového stavu ..."/>
    <s v="mimo prevadzky"/>
    <s v="zaradena"/>
    <n v="15"/>
    <n v="1317.2"/>
  </r>
  <r>
    <s v="HS Stará Ľubovňa "/>
    <x v="2"/>
    <n v="28899662"/>
    <s v="EUR"/>
    <n v="959293.03591582016"/>
    <n v="25992"/>
    <n v="112287"/>
    <s v="zaradená do pohotovosti  "/>
    <s v="zaradena"/>
    <s v="zaradena"/>
    <n v="14"/>
    <n v="1856.5714285714287"/>
  </r>
  <r>
    <s v="HS Moldava nad Bodvou"/>
    <x v="2"/>
    <n v="959293.03"/>
    <s v="EUR"/>
    <n v="959293.03"/>
    <n v="25572"/>
    <n v="135570"/>
    <s v="zaradená do pohotovosti  "/>
    <s v="zaradena"/>
    <s v="zaradena"/>
    <n v="14"/>
    <n v="1826.5714285714287"/>
  </r>
  <r>
    <s v="HS Humenné"/>
    <x v="3"/>
    <n v="959293.03"/>
    <s v="EUR"/>
    <n v="959293.03"/>
    <n v="18419"/>
    <n v="116719"/>
    <s v="zaradená do pohotovosti  "/>
    <s v="zaradena"/>
    <s v="zaradena"/>
    <n v="14"/>
    <n v="1315.6428571428571"/>
  </r>
  <r>
    <s v="HS Svidník"/>
    <x v="2"/>
    <n v="959293.03"/>
    <s v="EUR"/>
    <n v="959293.03"/>
    <n v="25764"/>
    <n v="78154"/>
    <s v="mimo prevádzky - na servise v Nemecku reklamácia od 10 ročného servisu 2020"/>
    <s v="mimo prevadzky"/>
    <m/>
    <n v="14"/>
    <n v="1840.2857142857142"/>
  </r>
  <r>
    <s v="HS 3 Bratislava-Nové Mesto (Hálkova)"/>
    <x v="1"/>
    <n v="959293.03"/>
    <s v="EUR"/>
    <n v="959293.03"/>
    <n v="62421"/>
    <n v="197744"/>
    <s v="mimo prevádzky"/>
    <s v="mimo prevadzky"/>
    <s v="zaradena"/>
    <n v="14"/>
    <n v="4458.6428571428569"/>
  </r>
  <r>
    <s v="HS 4 Bratislava-Dúbravka (Saratovská)"/>
    <x v="1"/>
    <n v="928699.8"/>
    <s v="EUR"/>
    <n v="928699.8"/>
    <n v="21161"/>
    <n v="449534"/>
    <s v="zaradená do pohotovosti  "/>
    <s v="zaradena"/>
    <s v="zaradena"/>
    <n v="14"/>
    <n v="1511.5"/>
  </r>
  <r>
    <s v="HS Banská Bystrica "/>
    <x v="1"/>
    <n v="928699.8"/>
    <s v="EUR"/>
    <n v="928699.8"/>
    <n v="16269"/>
    <n v="333803"/>
    <s v="zaradená do pohotovosti  "/>
    <s v="zaradena"/>
    <s v="zaradena"/>
    <n v="14"/>
    <n v="1162.0714285714287"/>
  </r>
  <r>
    <s v="HS Košice-Požiarnická"/>
    <x v="1"/>
    <n v="928699.8"/>
    <s v="EUR"/>
    <n v="928699.8"/>
    <n v="19911"/>
    <n v="210692"/>
    <s v="zaradená do pohotovosti   - nerovnaká rýchlosť otáčania v oboch smeroch, rameno sa otáča aj pri uvolnení ovládača, pohyb ramena v uhloch 80 až 83,3 veľmi pomalý. "/>
    <s v="zaradena"/>
    <s v="zaradena"/>
    <n v="14"/>
    <n v="1422.2142857142858"/>
  </r>
  <r>
    <s v="HS Trnava"/>
    <x v="1"/>
    <n v="928699.8"/>
    <s v="EUR"/>
    <n v="928699.8"/>
    <n v="24065"/>
    <n v="217964"/>
    <s v="mimo prevádzky  - od 24.1.2023 (plošina nespôsobilá na prevádzku - nutná oprava tesnenia valcov a výmena ložísk na valcoch oboch ľavých podpier, nutná výmena 2 ks ventilov na nádrži hydraulickej kvapaliny)"/>
    <s v="mimo prevadzky"/>
    <s v="zaradena"/>
    <n v="14"/>
    <n v="1718.9285714285713"/>
  </r>
  <r>
    <s v="HS Žilina"/>
    <x v="1"/>
    <n v="928699.8"/>
    <s v="EUR"/>
    <n v="928699.8"/>
    <n v="9674"/>
    <n v="197830"/>
    <s v="zaradená do pohotovosti  "/>
    <s v="zaradena"/>
    <s v="zaradena"/>
    <n v="14"/>
    <n v="691"/>
  </r>
  <r>
    <s v="HS Detva"/>
    <x v="2"/>
    <n v="27920566"/>
    <s v="SKK"/>
    <n v="926793.00272190128"/>
    <n v="33974"/>
    <n v="96788"/>
    <s v="mimo prevádzky - bez výškovej nadstavby, používa sa iba ako AHZS, nutná oprava pätiek vozidla"/>
    <s v="mimo prevadzky"/>
    <s v="zaradena"/>
    <n v="16"/>
    <n v="2123.375"/>
  </r>
  <r>
    <s v="HS Štúrovo"/>
    <x v="0"/>
    <n v="27920565"/>
    <s v="SKK"/>
    <n v="926792.96952798241"/>
    <n v="24595"/>
    <n v="28238"/>
    <s v="zaradená do pohotovosti  "/>
    <s v="zaradena"/>
    <s v="zaradena"/>
    <n v="20"/>
    <n v="1229.75"/>
  </r>
  <r>
    <s v="HS Spišská Nová Ves"/>
    <x v="3"/>
    <n v="27920565"/>
    <s v="SKK"/>
    <n v="926792.96952798241"/>
    <n v="32446"/>
    <n v="87989"/>
    <s v="zaradená do pohotovosti  - sporadicky sa vyskytujúca porucha stabilizácie vozidla,"/>
    <s v="zaradena"/>
    <s v="zaradena"/>
    <n v="16"/>
    <n v="2027.875"/>
  </r>
  <r>
    <s v="HS Piešťany  "/>
    <x v="2"/>
    <n v="27920565"/>
    <s v="SKK"/>
    <n v="926792.96952798241"/>
    <n v="24961"/>
    <n v="86893"/>
    <s v="mimo prevádzky - prevodovka, nutná rekonštrukcia (aj náhonu od prevodovky a podvozkovej časti)"/>
    <s v="mimo prevadzky"/>
    <m/>
    <n v="16"/>
    <n v="1560.0625"/>
  </r>
  <r>
    <s v="HS Modrý Kameň"/>
    <x v="2"/>
    <n v="27920565"/>
    <s v="SKK"/>
    <n v="926792.96952798241"/>
    <n v="38636"/>
    <n v="106491"/>
    <s v="zaradená do pohotovosti  "/>
    <s v="zaradena"/>
    <s v="zaradena"/>
    <n v="16"/>
    <n v="2414.75"/>
  </r>
  <r>
    <s v="HS Žiar nad Hronom  "/>
    <x v="2"/>
    <n v="27920565"/>
    <s v="SKK"/>
    <n v="926792.96952798241"/>
    <n v="46677"/>
    <n v="34389"/>
    <s v="mimo prevádzky"/>
    <s v="mimo prevadzky"/>
    <m/>
    <n v="16"/>
    <n v="2917.3125"/>
  </r>
  <r>
    <s v="HS Topoľčany"/>
    <x v="2"/>
    <n v="27920565"/>
    <s v="SKK"/>
    <n v="926792.96952798241"/>
    <n v="6429"/>
    <n v="276936"/>
    <s v="zaradená do pohotovosti  "/>
    <s v="zaradena"/>
    <s v="zaradena"/>
    <n v="16"/>
    <n v="401.8125"/>
  </r>
  <r>
    <s v="HS Nové Mesto nad Váhom"/>
    <x v="2"/>
    <n v="27920565"/>
    <s v="SKK"/>
    <n v="926792.96952798241"/>
    <n v="26023"/>
    <n v="35914"/>
    <s v="zaradená do pohotovosti  - podvozková časť vozidla (technický stav) zodpovedá veku vozidla"/>
    <s v="zaradena"/>
    <s v="zaradena"/>
    <n v="16"/>
    <n v="1626.4375"/>
  </r>
  <r>
    <s v="HS Malacky"/>
    <x v="2"/>
    <n v="27920565"/>
    <s v="SKK"/>
    <n v="926792.96952798241"/>
    <n v="29312"/>
    <n v="115551"/>
    <s v="mimo výjazd"/>
    <s v="mimo prevadzky"/>
    <m/>
    <n v="16"/>
    <n v="1832"/>
  </r>
  <r>
    <s v="HS Vysoké Tatry               "/>
    <x v="0"/>
    <n v="27920565"/>
    <s v="SKK"/>
    <n v="926792.96952798241"/>
    <n v="27358"/>
    <n v="23917"/>
    <s v="zaradená do pohotovosti  "/>
    <s v="zaradena"/>
    <s v="zaradena"/>
    <n v="16"/>
    <n v="1709.875"/>
  </r>
  <r>
    <s v="HS Považská Bystrica"/>
    <x v="2"/>
    <n v="27920565"/>
    <s v="SKK"/>
    <n v="926792.96952798241"/>
    <n v="21455"/>
    <n v="112752"/>
    <s v="zaradená do pohotovosti  - podvozková časť vozidla (technický stav) zodpovedá veku vozidla"/>
    <s v="zaradena"/>
    <m/>
    <n v="16"/>
    <n v="1340.9375"/>
  </r>
  <r>
    <s v="HS Trebišov"/>
    <x v="3"/>
    <n v="27920565"/>
    <s v="SKK"/>
    <n v="926792.96952798241"/>
    <n v="29483"/>
    <n v="127332"/>
    <s v="zaradená do pohotovosti  "/>
    <s v="zaradena"/>
    <s v="zaradena"/>
    <n v="15"/>
    <n v="1965.5333333333333"/>
  </r>
  <r>
    <s v="HS Prešov "/>
    <x v="1"/>
    <n v="27400000"/>
    <s v="SKK"/>
    <n v="909513.37714930624"/>
    <n v="21095"/>
    <n v="197267"/>
    <s v="zaradená do pohotovosti  "/>
    <s v="zaradena"/>
    <s v="zaradena"/>
    <n v="19"/>
    <n v="1110.2631578947369"/>
  </r>
  <r>
    <s v="HS Nitra"/>
    <x v="1"/>
    <n v="27400000"/>
    <s v="SKK"/>
    <n v="909513.37714930624"/>
    <n v="5462"/>
    <n v="202871"/>
    <s v="zaradená do pohotovosti  "/>
    <s v="zaradena"/>
    <m/>
    <n v="19"/>
    <n v="287.4736842105263"/>
  </r>
  <r>
    <s v="HS Senica   "/>
    <x v="2"/>
    <n v="19806869.5"/>
    <s v="SKK"/>
    <n v="657467.61933213833"/>
    <n v="19351"/>
    <n v="152871"/>
    <s v="mimo prevádzky - dlhodobo mimo prevádzky, pri odbornej prehliadke zistené nedostatky: prasknuté zvary, nefunkčný suchovod, poškodené hadice, padajúci kôš, únik oleja z podvozkovej aj nadstavbovej časti"/>
    <s v="mimo prevadzky"/>
    <s v="zaradena"/>
    <n v="33"/>
    <n v="586.39393939393938"/>
  </r>
  <r>
    <s v="Výcvikové centrum HaZZ Lešť + HS Pliešovce"/>
    <x v="3"/>
    <n v="9639157.8800000008"/>
    <s v="SKK"/>
    <n v="319961.4246829981"/>
    <n v="14846"/>
    <n v="37022"/>
    <s v="mimo prevádzky -  technika zaradená dlhodobo mimoprevádzky, v procese vyradenia"/>
    <s v="mimo prevadzky"/>
    <s v="zaradena"/>
    <n v="36"/>
    <n v="412.38888888888891"/>
  </r>
  <r>
    <s v="HS Krompachy"/>
    <x v="0"/>
    <n v="4460370"/>
    <s v="SKK"/>
    <n v="148057.15992830112"/>
    <n v="27543"/>
    <n v="38179"/>
    <s v="zaradená do pohotovosti  - opakovaný únik motorového a hydraulického oleja z podvozku, nízka prevádzkova spoľahlivosť"/>
    <s v="zaradena"/>
    <s v="zaradena"/>
    <n v="38"/>
    <n v="724.81578947368416"/>
  </r>
  <r>
    <s v="HS Kráľovský Chlmec"/>
    <x v="0"/>
    <n v="1500000"/>
    <s v="SKK"/>
    <n v="49790.878311093409"/>
    <n v="12584"/>
    <n v="39986"/>
    <s v="zaradená do pohotovosti  - stav primeraný k veku nadstavby, častá poruchovosť, nízka prevádzkova spoľahlivosť"/>
    <s v="zaradena"/>
    <s v="zaradena"/>
    <n v="33"/>
    <n v="381.33333333333331"/>
  </r>
  <r>
    <s v="HS Spišská Nová Ves"/>
    <x v="3"/>
    <n v="1480000"/>
    <s v="SKK"/>
    <n v="49126.999933612162"/>
    <n v="18357"/>
    <n v="29336"/>
    <s v="zaradená do pohotovosti  - opakovaný únik motorového a hydraulického oleja z podvozku, skorodovaný podvozok a nadstavba, vozidlo vekom opotrebované  "/>
    <s v="zaradena"/>
    <s v="zaradena"/>
    <n v="32"/>
    <n v="573.65625"/>
  </r>
  <r>
    <s v="HS Kráľovský Chlmec"/>
    <x v="0"/>
    <n v="1200000"/>
    <s v="SKK"/>
    <n v="39832.702648874721"/>
    <n v="25391"/>
    <n v="32393"/>
    <s v="zaradená do pohotovosti  - častá poruchovosť elektroinštalácie nadstavby, únik hydraulického oleja, samovoľné vysúvanie pätiek, zastaranosť, nízka prevádzkova spoľahlivosť"/>
    <s v="zaradena"/>
    <m/>
    <n v="48"/>
    <n v="528.97916666666663"/>
  </r>
  <r>
    <s v="HS Vráble"/>
    <x v="0"/>
    <n v="827903"/>
    <s v="SKK"/>
    <n v="27481.345017592776"/>
    <n v="14525"/>
    <n v="59575"/>
    <s v="mimo prevádzky"/>
    <s v="mimo prevadzky"/>
    <m/>
    <n v="35"/>
    <n v="415"/>
  </r>
  <r>
    <s v="HS Sobrance"/>
    <x v="0"/>
    <n v="823513"/>
    <s v="SKK"/>
    <n v="27335.623713735644"/>
    <n v="21180"/>
    <n v="35182"/>
    <s v="mimo prevádzky - veľmi častá poruchovosť, nízka prevádzkova spoľahlivosť"/>
    <s v="mimo prevadzky"/>
    <s v="zaradena"/>
    <n v="36"/>
    <n v="588.33333333333337"/>
  </r>
  <r>
    <s v="HS Brezno"/>
    <x v="2"/>
    <n v="758010"/>
    <s v="SKK"/>
    <n v="25161.322445727943"/>
    <n v="26722"/>
    <n v="28756"/>
    <s v="zaradená do pohotovosti  "/>
    <s v="zaradena"/>
    <s v="zaradena"/>
    <n v="34"/>
    <n v="785.94117647058829"/>
  </r>
  <r>
    <s v="HS Rožňava"/>
    <x v="3"/>
    <n v="755010"/>
    <s v="SKK"/>
    <n v="25061.740689105754"/>
    <n v="19773"/>
    <n v="32437"/>
    <s v="zaradená do pohotovosti  - stav primeraný k veku nadstavby, častá poruchovosť, nízka prevádzkova spoľahlivosť,  "/>
    <s v="zaradena"/>
    <s v="zaradena"/>
    <n v="33"/>
    <n v="599.18181818181813"/>
  </r>
  <r>
    <s v="HS Holíč"/>
    <x v="2"/>
    <n v="755010"/>
    <s v="SKK"/>
    <n v="25061.740689105754"/>
    <n v="15981"/>
    <n v="51553"/>
    <s v="zaradená do pohotovosti  "/>
    <s v="zaradena"/>
    <m/>
    <n v="33"/>
    <n v="484.27272727272725"/>
  </r>
  <r>
    <s v="HS Galanta "/>
    <x v="2"/>
    <n v="755010"/>
    <s v="SKK"/>
    <n v="25061.740689105754"/>
    <n v="15559"/>
    <n v="38677"/>
    <s v="zaradená do pohotovosti  "/>
    <s v="zaradena"/>
    <s v="zaradena"/>
    <n v="33"/>
    <n v="471.4848484848485"/>
  </r>
  <r>
    <s v="Výcvikové centrum HaZZ Lešť + HS Pliešovce"/>
    <x v="3"/>
    <n v="755010"/>
    <s v="SKK"/>
    <n v="25061.740689105754"/>
    <n v="10925"/>
    <n v="32307"/>
    <s v="zaradená do pohotovosti  "/>
    <s v="zaradena"/>
    <m/>
    <n v="33"/>
    <n v="331.06060606060606"/>
  </r>
  <r>
    <s v="HS Banská Štiavnica"/>
    <x v="0"/>
    <n v="755010"/>
    <s v="SKK"/>
    <n v="25061.740689105754"/>
    <n v="11962"/>
    <n v="37757"/>
    <s v="zaradená do pohotovosti  "/>
    <s v="zaradena"/>
    <m/>
    <n v="33"/>
    <n v="362.4848484848485"/>
  </r>
  <r>
    <s v="HS Turzovka"/>
    <x v="0"/>
    <n v="755010"/>
    <s v="SKK"/>
    <n v="25061.740689105754"/>
    <n v="15602"/>
    <n v="32866"/>
    <s v="zaradená do pohotovosti  "/>
    <s v="zaradena"/>
    <s v="zaradena"/>
    <n v="33"/>
    <n v="472.78787878787881"/>
  </r>
  <r>
    <s v="Záchranná brigáda Malacky"/>
    <x v="1"/>
    <n v="642800"/>
    <s v="SKK"/>
    <n v="21337.051052247229"/>
    <n v="19380"/>
    <n v="58503"/>
    <s v="zaradená do pohotovosti  "/>
    <s v="zaradena"/>
    <s v="zaradena"/>
    <n v="31"/>
    <n v="625.161290322580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B19:D24" firstHeaderRow="0" firstDataRow="1" firstDataCol="1"/>
  <pivotFields count="12">
    <pivotField showAll="0"/>
    <pivotField axis="axisRow" showAll="0">
      <items count="5">
        <item x="0"/>
        <item x="2"/>
        <item x="3"/>
        <item x="1"/>
        <item t="default"/>
      </items>
    </pivotField>
    <pivotField numFmtId="43" showAll="0"/>
    <pivotField showAll="0"/>
    <pivotField numFmtId="44" showAll="0"/>
    <pivotField dataField="1" showAll="0"/>
    <pivotField dataField="1" numFmtId="44" showAll="0"/>
    <pivotField showAll="0"/>
    <pivotField showAll="0"/>
    <pivotField showAll="0"/>
    <pivotField showAll="0"/>
    <pivotField numFmtId="2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Priemer z Náklady na opravy" fld="6" subtotal="average" baseField="1" baseItem="1" numFmtId="164"/>
    <dataField name="Priemer z Stav tachometra ku dňu 20.2.2023" fld="5" subtotal="average" baseField="1" baseItem="0"/>
  </dataFields>
  <formats count="8"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9" firstHeaderRow="0" firstDataRow="1" firstDataCol="1"/>
  <pivotFields count="20">
    <pivotField dataField="1" showAll="0"/>
    <pivotField showAll="0"/>
    <pivotField showAll="0"/>
    <pivotField showAll="0"/>
    <pivotField showAll="0"/>
    <pivotField axis="axisRow" showAll="0">
      <items count="6">
        <item x="1"/>
        <item x="0"/>
        <item x="4"/>
        <item x="3"/>
        <item x="2"/>
        <item t="default"/>
      </items>
    </pivotField>
    <pivotField showAll="0"/>
    <pivotField showAll="0"/>
    <pivotField showAll="0"/>
    <pivotField showAll="0"/>
    <pivotField numFmtId="43" showAll="0"/>
    <pivotField showAll="0"/>
    <pivotField dataField="1" numFmtId="44" showAll="0"/>
    <pivotField dataField="1" showAll="0"/>
    <pivotField dataField="1" numFmtId="1" showAll="0"/>
    <pivotField showAll="0"/>
    <pivotField showAll="0"/>
    <pivotField dataField="1" showAll="0" defaultSubtotal="0"/>
    <pivotField showAll="0"/>
    <pivotField dataField="1" numFmtId="2" showAll="0" defaultSubtota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účet z Počet" fld="0" baseField="0" baseItem="0"/>
    <dataField name="Počet z zaradena" fld="17" subtotal="count" baseField="0" baseItem="0"/>
    <dataField name="Priemer z Náklady na opravy" fld="14" subtotal="average" baseField="5" baseItem="0"/>
    <dataField name="Priemer z pôvodná hodnota v EUR" fld="12" subtotal="average" baseField="5" baseItem="0"/>
    <dataField name="Priemer z Stav tachometra ku dňu 20.2.2023" fld="13" subtotal="average" baseField="5" baseItem="3"/>
    <dataField name="Priemer z nájazd na rok" fld="19" subtotal="average" baseField="5" baseItem="0"/>
  </dataFields>
  <formats count="5">
    <format dxfId="5">
      <pivotArea collapsedLevelsAreSubtotals="1" fieldPosition="0">
        <references count="2">
          <reference field="4294967294" count="1" selected="0">
            <x v="2"/>
          </reference>
          <reference field="5" count="0"/>
        </references>
      </pivotArea>
    </format>
    <format dxfId="4">
      <pivotArea collapsedLevelsAreSubtotals="1" fieldPosition="0">
        <references count="2">
          <reference field="4294967294" count="1" selected="0">
            <x v="3"/>
          </reference>
          <reference field="5" count="0"/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5" count="0"/>
        </references>
      </pivotArea>
    </format>
    <format dxfId="2">
      <pivotArea field="5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">
      <pivotArea field="5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25" firstHeaderRow="0" firstDataRow="1" firstDataCol="1" rowPageCount="1" colPageCount="1"/>
  <pivotFields count="17">
    <pivotField showAll="0"/>
    <pivotField showAll="0"/>
    <pivotField showAll="0">
      <items count="8">
        <item x="4"/>
        <item x="0"/>
        <item x="1"/>
        <item x="3"/>
        <item x="2"/>
        <item x="5"/>
        <item x="6"/>
        <item t="default"/>
      </items>
    </pivotField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 defaultSubtotal="0">
      <items count="5">
        <item x="3"/>
        <item x="4"/>
        <item x="0"/>
        <item x="1"/>
        <item x="2"/>
      </items>
    </pivotField>
    <pivotField showAll="0"/>
    <pivotField showAll="0"/>
    <pivotField showAll="0"/>
    <pivotField showAll="0">
      <items count="5">
        <item x="0"/>
        <item x="2"/>
        <item x="1"/>
        <item x="3"/>
        <item t="default"/>
      </items>
    </pivotField>
    <pivotField showAll="0"/>
    <pivotField dataField="1" showAll="0"/>
    <pivotField numFmtId="44" showAll="0" defaultSubtotal="0"/>
    <pivotField dataField="1" showAll="0"/>
    <pivotField dataField="1" numFmtId="1" showAll="0"/>
    <pivotField showAll="0"/>
    <pivotField axis="axisPage" showAll="0">
      <items count="3">
        <item x="1"/>
        <item x="0"/>
        <item t="default"/>
      </items>
    </pivotField>
  </pivotFields>
  <rowFields count="2">
    <field x="5"/>
    <field x="4"/>
  </rowFields>
  <rowItems count="22">
    <i>
      <x/>
    </i>
    <i r="1">
      <x v="8"/>
    </i>
    <i r="1">
      <x v="9"/>
    </i>
    <i r="1">
      <x v="10"/>
    </i>
    <i r="1">
      <x v="11"/>
    </i>
    <i r="1">
      <x v="12"/>
    </i>
    <i>
      <x v="1"/>
    </i>
    <i r="1">
      <x v="12"/>
    </i>
    <i r="1">
      <x v="13"/>
    </i>
    <i r="1">
      <x v="14"/>
    </i>
    <i>
      <x v="2"/>
    </i>
    <i r="1">
      <x/>
    </i>
    <i>
      <x v="3"/>
    </i>
    <i r="1">
      <x v="1"/>
    </i>
    <i r="1">
      <x v="2"/>
    </i>
    <i r="1">
      <x v="3"/>
    </i>
    <i r="1">
      <x v="4"/>
    </i>
    <i>
      <x v="4"/>
    </i>
    <i r="1">
      <x v="5"/>
    </i>
    <i r="1">
      <x v="6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6" hier="-1"/>
  </pageFields>
  <dataFields count="3">
    <dataField name="Počet z Mena" fld="11" subtotal="count" baseField="0" baseItem="0"/>
    <dataField name="Priemer z Stav tachometra ku dňu 20.2.2023" fld="13" subtotal="average" baseField="4" baseItem="0"/>
    <dataField name="Priemer z Náklady na opravy" fld="14" subtotal="average" baseField="9" baseItem="0" numFmtId="44"/>
  </dataFields>
  <formats count="1"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21" sqref="C21"/>
    </sheetView>
  </sheetViews>
  <sheetFormatPr defaultRowHeight="14.5" x14ac:dyDescent="0.35"/>
  <cols>
    <col min="2" max="2" width="15" bestFit="1" customWidth="1"/>
  </cols>
  <sheetData>
    <row r="1" spans="1:2" x14ac:dyDescent="0.35">
      <c r="A1" t="s">
        <v>260</v>
      </c>
      <c r="B1" s="25">
        <v>17676452.266985238</v>
      </c>
    </row>
    <row r="2" spans="1:2" x14ac:dyDescent="0.35">
      <c r="A2" t="s">
        <v>309</v>
      </c>
      <c r="B2" s="25">
        <v>9332639.6092585661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opLeftCell="D1" zoomScale="80" zoomScaleNormal="80" workbookViewId="0">
      <selection activeCell="I12" sqref="I12"/>
    </sheetView>
  </sheetViews>
  <sheetFormatPr defaultColWidth="24.453125" defaultRowHeight="14.5" x14ac:dyDescent="0.35"/>
  <cols>
    <col min="1" max="1" width="6" style="9" bestFit="1" customWidth="1"/>
    <col min="2" max="2" width="11" style="9" customWidth="1"/>
    <col min="3" max="3" width="36.08984375" style="9" bestFit="1" customWidth="1"/>
    <col min="4" max="4" width="48.81640625" style="9" bestFit="1" customWidth="1"/>
    <col min="5" max="5" width="11" style="9" bestFit="1" customWidth="1"/>
    <col min="6" max="6" width="11" style="9" customWidth="1"/>
    <col min="7" max="7" width="14.81640625" style="9" bestFit="1" customWidth="1"/>
    <col min="8" max="8" width="15" style="9" bestFit="1" customWidth="1"/>
    <col min="9" max="9" width="36.36328125" style="9" bestFit="1" customWidth="1"/>
    <col min="10" max="10" width="24.36328125" style="9" bestFit="1" customWidth="1"/>
    <col min="11" max="11" width="16.54296875" style="18" bestFit="1" customWidth="1"/>
    <col min="12" max="12" width="6.36328125" style="12" bestFit="1" customWidth="1"/>
    <col min="13" max="13" width="38.453125" style="118" customWidth="1"/>
    <col min="14" max="14" width="31" style="12" bestFit="1" customWidth="1"/>
    <col min="15" max="15" width="16.90625" style="12" bestFit="1" customWidth="1"/>
    <col min="16" max="16" width="79.08984375" style="9" customWidth="1"/>
    <col min="17" max="16384" width="24.453125" style="9"/>
  </cols>
  <sheetData>
    <row r="1" spans="1:20" x14ac:dyDescent="0.35">
      <c r="A1" s="1" t="s">
        <v>0</v>
      </c>
      <c r="B1" s="1" t="s">
        <v>1</v>
      </c>
      <c r="C1" s="2" t="s">
        <v>7</v>
      </c>
      <c r="D1" s="1" t="s">
        <v>2</v>
      </c>
      <c r="E1" s="1" t="s">
        <v>3</v>
      </c>
      <c r="F1" s="1" t="s">
        <v>160</v>
      </c>
      <c r="G1" s="2" t="s">
        <v>4</v>
      </c>
      <c r="H1" s="2" t="s">
        <v>5</v>
      </c>
      <c r="I1" s="2" t="s">
        <v>6</v>
      </c>
      <c r="J1" s="2" t="s">
        <v>119</v>
      </c>
      <c r="K1" s="17" t="s">
        <v>148</v>
      </c>
      <c r="L1" s="10" t="s">
        <v>145</v>
      </c>
      <c r="M1" s="116" t="s">
        <v>159</v>
      </c>
      <c r="N1" s="10" t="s">
        <v>147</v>
      </c>
      <c r="O1" s="10" t="s">
        <v>146</v>
      </c>
      <c r="P1" s="2" t="s">
        <v>133</v>
      </c>
      <c r="Q1" s="9" t="s">
        <v>151</v>
      </c>
      <c r="R1" s="9" t="s">
        <v>152</v>
      </c>
      <c r="S1" s="9" t="s">
        <v>158</v>
      </c>
      <c r="T1" s="9" t="s">
        <v>170</v>
      </c>
    </row>
    <row r="2" spans="1:20" ht="25" x14ac:dyDescent="0.35">
      <c r="A2" s="4">
        <v>1</v>
      </c>
      <c r="B2" s="4">
        <v>44133</v>
      </c>
      <c r="C2" s="5" t="s">
        <v>54</v>
      </c>
      <c r="D2" s="4" t="s">
        <v>112</v>
      </c>
      <c r="E2" s="4">
        <v>2012</v>
      </c>
      <c r="F2" s="4" t="s">
        <v>165</v>
      </c>
      <c r="G2" s="5" t="s">
        <v>44</v>
      </c>
      <c r="H2" s="5" t="s">
        <v>110</v>
      </c>
      <c r="I2" s="5" t="s">
        <v>116</v>
      </c>
      <c r="J2" s="5" t="s">
        <v>120</v>
      </c>
      <c r="K2" s="16">
        <v>961354.33</v>
      </c>
      <c r="L2" s="11" t="s">
        <v>150</v>
      </c>
      <c r="M2" s="117">
        <f t="shared" ref="M2:M7" si="0">K2</f>
        <v>961354.33</v>
      </c>
      <c r="N2" s="11">
        <v>22553</v>
      </c>
      <c r="O2" s="19">
        <v>17822</v>
      </c>
      <c r="P2" s="3" t="s">
        <v>144</v>
      </c>
      <c r="Q2" s="9" t="s">
        <v>153</v>
      </c>
      <c r="R2" s="9" t="s">
        <v>152</v>
      </c>
      <c r="S2" s="9">
        <f>2023-E2</f>
        <v>11</v>
      </c>
      <c r="T2" s="24">
        <f>N2/S2</f>
        <v>2050.2727272727275</v>
      </c>
    </row>
    <row r="3" spans="1:20" ht="25" x14ac:dyDescent="0.35">
      <c r="A3" s="4">
        <v>1</v>
      </c>
      <c r="B3" s="4">
        <v>44134</v>
      </c>
      <c r="C3" s="5" t="s">
        <v>54</v>
      </c>
      <c r="D3" s="4" t="s">
        <v>112</v>
      </c>
      <c r="E3" s="4">
        <v>2012</v>
      </c>
      <c r="F3" s="4" t="s">
        <v>165</v>
      </c>
      <c r="G3" s="5" t="s">
        <v>62</v>
      </c>
      <c r="H3" s="5" t="s">
        <v>85</v>
      </c>
      <c r="I3" s="5" t="s">
        <v>113</v>
      </c>
      <c r="J3" s="5" t="s">
        <v>123</v>
      </c>
      <c r="K3" s="16">
        <v>961354.33</v>
      </c>
      <c r="L3" s="11" t="s">
        <v>150</v>
      </c>
      <c r="M3" s="117">
        <f t="shared" si="0"/>
        <v>961354.33</v>
      </c>
      <c r="N3" s="11">
        <v>32505</v>
      </c>
      <c r="O3" s="19">
        <v>176671</v>
      </c>
      <c r="P3" s="3" t="s">
        <v>143</v>
      </c>
      <c r="Q3" s="9" t="s">
        <v>153</v>
      </c>
      <c r="R3" s="9" t="s">
        <v>152</v>
      </c>
      <c r="S3" s="9">
        <f t="shared" ref="S3:S48" si="1">2023-E3</f>
        <v>11</v>
      </c>
      <c r="T3" s="24">
        <f t="shared" ref="T3:T48" si="2">N3/S3</f>
        <v>2955</v>
      </c>
    </row>
    <row r="4" spans="1:20" ht="25" x14ac:dyDescent="0.35">
      <c r="A4" s="4">
        <v>1</v>
      </c>
      <c r="B4" s="4">
        <v>44145</v>
      </c>
      <c r="C4" s="5" t="s">
        <v>54</v>
      </c>
      <c r="D4" s="4" t="s">
        <v>112</v>
      </c>
      <c r="E4" s="4">
        <v>2012</v>
      </c>
      <c r="F4" s="4" t="s">
        <v>165</v>
      </c>
      <c r="G4" s="5" t="s">
        <v>24</v>
      </c>
      <c r="H4" s="5" t="s">
        <v>114</v>
      </c>
      <c r="I4" s="5" t="s">
        <v>115</v>
      </c>
      <c r="J4" s="5" t="s">
        <v>122</v>
      </c>
      <c r="K4" s="16">
        <v>961354.33</v>
      </c>
      <c r="L4" s="11" t="s">
        <v>150</v>
      </c>
      <c r="M4" s="117">
        <f t="shared" si="0"/>
        <v>961354.33</v>
      </c>
      <c r="N4" s="11">
        <v>14002</v>
      </c>
      <c r="O4" s="19">
        <v>80589</v>
      </c>
      <c r="P4" s="5" t="s">
        <v>126</v>
      </c>
      <c r="Q4" s="9" t="s">
        <v>152</v>
      </c>
      <c r="S4" s="9">
        <f t="shared" si="1"/>
        <v>11</v>
      </c>
      <c r="T4" s="24">
        <f t="shared" si="2"/>
        <v>1272.909090909091</v>
      </c>
    </row>
    <row r="5" spans="1:20" ht="25" x14ac:dyDescent="0.35">
      <c r="A5" s="4">
        <v>1</v>
      </c>
      <c r="B5" s="4">
        <v>44140</v>
      </c>
      <c r="C5" s="5" t="s">
        <v>54</v>
      </c>
      <c r="D5" s="4" t="s">
        <v>112</v>
      </c>
      <c r="E5" s="4">
        <v>2013</v>
      </c>
      <c r="F5" s="4" t="s">
        <v>165</v>
      </c>
      <c r="G5" s="5" t="s">
        <v>76</v>
      </c>
      <c r="H5" s="5" t="s">
        <v>117</v>
      </c>
      <c r="I5" s="5" t="s">
        <v>118</v>
      </c>
      <c r="J5" s="5" t="s">
        <v>120</v>
      </c>
      <c r="K5" s="16">
        <v>961354.33</v>
      </c>
      <c r="L5" s="11" t="s">
        <v>150</v>
      </c>
      <c r="M5" s="117">
        <f t="shared" si="0"/>
        <v>961354.33</v>
      </c>
      <c r="N5" s="11">
        <v>10774</v>
      </c>
      <c r="O5" s="19">
        <v>15586</v>
      </c>
      <c r="P5" s="5" t="s">
        <v>136</v>
      </c>
      <c r="Q5" s="9" t="s">
        <v>152</v>
      </c>
      <c r="S5" s="9">
        <f t="shared" si="1"/>
        <v>10</v>
      </c>
      <c r="T5" s="24">
        <f t="shared" si="2"/>
        <v>1077.4000000000001</v>
      </c>
    </row>
    <row r="6" spans="1:20" ht="25" x14ac:dyDescent="0.35">
      <c r="A6" s="4">
        <v>1</v>
      </c>
      <c r="B6" s="4">
        <v>42675</v>
      </c>
      <c r="C6" s="5" t="s">
        <v>54</v>
      </c>
      <c r="D6" s="4" t="s">
        <v>71</v>
      </c>
      <c r="E6" s="4">
        <v>2009</v>
      </c>
      <c r="F6" s="4" t="s">
        <v>164</v>
      </c>
      <c r="G6" s="5" t="s">
        <v>44</v>
      </c>
      <c r="H6" s="5" t="s">
        <v>108</v>
      </c>
      <c r="I6" s="5" t="s">
        <v>109</v>
      </c>
      <c r="J6" s="5" t="s">
        <v>122</v>
      </c>
      <c r="K6" s="16">
        <v>959293.04</v>
      </c>
      <c r="L6" s="11" t="s">
        <v>150</v>
      </c>
      <c r="M6" s="117">
        <f t="shared" si="0"/>
        <v>959293.04</v>
      </c>
      <c r="N6" s="11">
        <v>24347</v>
      </c>
      <c r="O6" s="19">
        <v>133537</v>
      </c>
      <c r="P6" s="5" t="s">
        <v>126</v>
      </c>
      <c r="Q6" s="9" t="s">
        <v>152</v>
      </c>
      <c r="S6" s="9">
        <f t="shared" si="1"/>
        <v>14</v>
      </c>
      <c r="T6" s="24">
        <f t="shared" si="2"/>
        <v>1739.0714285714287</v>
      </c>
    </row>
    <row r="7" spans="1:20" ht="25" x14ac:dyDescent="0.35">
      <c r="A7" s="4">
        <v>1</v>
      </c>
      <c r="B7" s="4">
        <v>42679</v>
      </c>
      <c r="C7" s="5" t="s">
        <v>54</v>
      </c>
      <c r="D7" s="4" t="s">
        <v>71</v>
      </c>
      <c r="E7" s="4">
        <v>2009</v>
      </c>
      <c r="F7" s="4" t="s">
        <v>164</v>
      </c>
      <c r="G7" s="5" t="s">
        <v>28</v>
      </c>
      <c r="H7" s="5" t="s">
        <v>90</v>
      </c>
      <c r="I7" s="5" t="s">
        <v>91</v>
      </c>
      <c r="J7" s="5" t="s">
        <v>121</v>
      </c>
      <c r="K7" s="16">
        <v>959293.04</v>
      </c>
      <c r="L7" s="11" t="s">
        <v>150</v>
      </c>
      <c r="M7" s="117">
        <f t="shared" si="0"/>
        <v>959293.04</v>
      </c>
      <c r="N7" s="11">
        <v>28160</v>
      </c>
      <c r="O7" s="19">
        <v>34591</v>
      </c>
      <c r="P7" s="5" t="s">
        <v>126</v>
      </c>
      <c r="Q7" s="9" t="s">
        <v>152</v>
      </c>
      <c r="R7" s="9" t="s">
        <v>152</v>
      </c>
      <c r="S7" s="9">
        <f t="shared" si="1"/>
        <v>14</v>
      </c>
      <c r="T7" s="24">
        <f t="shared" si="2"/>
        <v>2011.4285714285713</v>
      </c>
    </row>
    <row r="8" spans="1:20" ht="25" x14ac:dyDescent="0.35">
      <c r="A8" s="4">
        <v>1</v>
      </c>
      <c r="B8" s="4">
        <v>42659</v>
      </c>
      <c r="C8" s="5" t="s">
        <v>54</v>
      </c>
      <c r="D8" s="4" t="s">
        <v>51</v>
      </c>
      <c r="E8" s="7">
        <v>2008</v>
      </c>
      <c r="F8" s="4" t="s">
        <v>164</v>
      </c>
      <c r="G8" s="5" t="s">
        <v>35</v>
      </c>
      <c r="H8" s="5" t="s">
        <v>41</v>
      </c>
      <c r="I8" s="5" t="s">
        <v>42</v>
      </c>
      <c r="J8" s="5" t="s">
        <v>122</v>
      </c>
      <c r="K8" s="16">
        <v>28899662</v>
      </c>
      <c r="L8" s="11" t="s">
        <v>149</v>
      </c>
      <c r="M8" s="117">
        <f>K8/30.126</f>
        <v>959293.03591582016</v>
      </c>
      <c r="N8" s="11">
        <v>19758</v>
      </c>
      <c r="O8" s="19">
        <v>97147</v>
      </c>
      <c r="P8" s="3" t="s">
        <v>138</v>
      </c>
      <c r="Q8" s="9" t="s">
        <v>153</v>
      </c>
      <c r="R8" s="9" t="s">
        <v>152</v>
      </c>
      <c r="S8" s="9">
        <f t="shared" si="1"/>
        <v>15</v>
      </c>
      <c r="T8" s="24">
        <f t="shared" si="2"/>
        <v>1317.2</v>
      </c>
    </row>
    <row r="9" spans="1:20" ht="25" x14ac:dyDescent="0.35">
      <c r="A9" s="4">
        <v>1</v>
      </c>
      <c r="B9" s="4">
        <v>42672</v>
      </c>
      <c r="C9" s="5" t="s">
        <v>54</v>
      </c>
      <c r="D9" s="4" t="s">
        <v>51</v>
      </c>
      <c r="E9" s="4">
        <v>2009</v>
      </c>
      <c r="F9" s="4" t="s">
        <v>164</v>
      </c>
      <c r="G9" s="5" t="s">
        <v>58</v>
      </c>
      <c r="H9" s="5" t="s">
        <v>99</v>
      </c>
      <c r="I9" s="5" t="s">
        <v>100</v>
      </c>
      <c r="J9" s="5" t="s">
        <v>122</v>
      </c>
      <c r="K9" s="16">
        <v>28899662</v>
      </c>
      <c r="L9" s="11" t="s">
        <v>150</v>
      </c>
      <c r="M9" s="117">
        <f>K9/30.126</f>
        <v>959293.03591582016</v>
      </c>
      <c r="N9" s="11">
        <v>25992</v>
      </c>
      <c r="O9" s="19">
        <v>112287</v>
      </c>
      <c r="P9" s="5" t="s">
        <v>126</v>
      </c>
      <c r="Q9" s="9" t="s">
        <v>152</v>
      </c>
      <c r="R9" s="9" t="s">
        <v>152</v>
      </c>
      <c r="S9" s="9">
        <f t="shared" si="1"/>
        <v>14</v>
      </c>
      <c r="T9" s="24">
        <f t="shared" si="2"/>
        <v>1856.5714285714287</v>
      </c>
    </row>
    <row r="10" spans="1:20" ht="25" x14ac:dyDescent="0.35">
      <c r="A10" s="4">
        <v>1</v>
      </c>
      <c r="B10" s="4">
        <v>42682</v>
      </c>
      <c r="C10" s="5" t="s">
        <v>54</v>
      </c>
      <c r="D10" s="4" t="s">
        <v>51</v>
      </c>
      <c r="E10" s="4">
        <v>2009</v>
      </c>
      <c r="F10" s="4" t="s">
        <v>164</v>
      </c>
      <c r="G10" s="5" t="s">
        <v>9</v>
      </c>
      <c r="H10" s="5" t="s">
        <v>94</v>
      </c>
      <c r="I10" s="5" t="s">
        <v>95</v>
      </c>
      <c r="J10" s="5" t="s">
        <v>122</v>
      </c>
      <c r="K10" s="16">
        <v>959293.03</v>
      </c>
      <c r="L10" s="11" t="s">
        <v>150</v>
      </c>
      <c r="M10" s="117">
        <f t="shared" ref="M10:M18" si="3">K10</f>
        <v>959293.03</v>
      </c>
      <c r="N10" s="11">
        <v>25572</v>
      </c>
      <c r="O10" s="19">
        <v>135570</v>
      </c>
      <c r="P10" s="5" t="s">
        <v>126</v>
      </c>
      <c r="Q10" s="9" t="s">
        <v>152</v>
      </c>
      <c r="R10" s="9" t="s">
        <v>152</v>
      </c>
      <c r="S10" s="9">
        <f t="shared" si="1"/>
        <v>14</v>
      </c>
      <c r="T10" s="24">
        <f t="shared" si="2"/>
        <v>1826.5714285714287</v>
      </c>
    </row>
    <row r="11" spans="1:20" ht="25" x14ac:dyDescent="0.35">
      <c r="A11" s="4">
        <v>1</v>
      </c>
      <c r="B11" s="4">
        <v>42683</v>
      </c>
      <c r="C11" s="5" t="s">
        <v>54</v>
      </c>
      <c r="D11" s="4" t="s">
        <v>51</v>
      </c>
      <c r="E11" s="4">
        <v>2009</v>
      </c>
      <c r="F11" s="4" t="s">
        <v>164</v>
      </c>
      <c r="G11" s="5" t="s">
        <v>58</v>
      </c>
      <c r="H11" s="5" t="s">
        <v>101</v>
      </c>
      <c r="I11" s="5" t="s">
        <v>102</v>
      </c>
      <c r="J11" s="5" t="s">
        <v>121</v>
      </c>
      <c r="K11" s="16">
        <v>959293.03</v>
      </c>
      <c r="L11" s="11" t="s">
        <v>150</v>
      </c>
      <c r="M11" s="117">
        <f t="shared" si="3"/>
        <v>959293.03</v>
      </c>
      <c r="N11" s="11">
        <v>18419</v>
      </c>
      <c r="O11" s="19">
        <v>116719</v>
      </c>
      <c r="P11" s="5" t="s">
        <v>126</v>
      </c>
      <c r="Q11" s="9" t="s">
        <v>152</v>
      </c>
      <c r="R11" s="9" t="s">
        <v>152</v>
      </c>
      <c r="S11" s="9">
        <f t="shared" si="1"/>
        <v>14</v>
      </c>
      <c r="T11" s="24">
        <f t="shared" si="2"/>
        <v>1315.6428571428571</v>
      </c>
    </row>
    <row r="12" spans="1:20" ht="25" x14ac:dyDescent="0.35">
      <c r="A12" s="4">
        <v>1</v>
      </c>
      <c r="B12" s="4">
        <v>42684</v>
      </c>
      <c r="C12" s="5" t="s">
        <v>54</v>
      </c>
      <c r="D12" s="4" t="s">
        <v>84</v>
      </c>
      <c r="E12" s="4">
        <v>2009</v>
      </c>
      <c r="F12" s="4" t="s">
        <v>164</v>
      </c>
      <c r="G12" s="5" t="s">
        <v>58</v>
      </c>
      <c r="H12" s="5" t="s">
        <v>103</v>
      </c>
      <c r="I12" s="5" t="s">
        <v>104</v>
      </c>
      <c r="J12" s="5" t="s">
        <v>122</v>
      </c>
      <c r="K12" s="16">
        <v>959293.03</v>
      </c>
      <c r="L12" s="11" t="s">
        <v>150</v>
      </c>
      <c r="M12" s="117">
        <f t="shared" si="3"/>
        <v>959293.03</v>
      </c>
      <c r="N12" s="11">
        <v>25764</v>
      </c>
      <c r="O12" s="19">
        <v>78154</v>
      </c>
      <c r="P12" s="3" t="s">
        <v>141</v>
      </c>
      <c r="Q12" s="9" t="s">
        <v>153</v>
      </c>
      <c r="S12" s="9">
        <f t="shared" si="1"/>
        <v>14</v>
      </c>
      <c r="T12" s="24">
        <f t="shared" si="2"/>
        <v>1840.2857142857142</v>
      </c>
    </row>
    <row r="13" spans="1:20" ht="25" x14ac:dyDescent="0.35">
      <c r="A13" s="4">
        <v>1</v>
      </c>
      <c r="B13" s="4">
        <v>42685</v>
      </c>
      <c r="C13" s="5" t="s">
        <v>54</v>
      </c>
      <c r="D13" s="4" t="s">
        <v>84</v>
      </c>
      <c r="E13" s="4">
        <v>2009</v>
      </c>
      <c r="F13" s="4" t="s">
        <v>164</v>
      </c>
      <c r="G13" s="5" t="s">
        <v>62</v>
      </c>
      <c r="H13" s="5" t="s">
        <v>85</v>
      </c>
      <c r="I13" s="5" t="s">
        <v>86</v>
      </c>
      <c r="J13" s="5" t="s">
        <v>123</v>
      </c>
      <c r="K13" s="16">
        <v>959293.03</v>
      </c>
      <c r="L13" s="11" t="s">
        <v>150</v>
      </c>
      <c r="M13" s="117">
        <f t="shared" si="3"/>
        <v>959293.03</v>
      </c>
      <c r="N13" s="11">
        <v>62421</v>
      </c>
      <c r="O13" s="19">
        <v>197744</v>
      </c>
      <c r="P13" s="3" t="s">
        <v>125</v>
      </c>
      <c r="Q13" s="9" t="s">
        <v>153</v>
      </c>
      <c r="R13" s="9" t="s">
        <v>152</v>
      </c>
      <c r="S13" s="9">
        <f t="shared" si="1"/>
        <v>14</v>
      </c>
      <c r="T13" s="24">
        <f t="shared" si="2"/>
        <v>4458.6428571428569</v>
      </c>
    </row>
    <row r="14" spans="1:20" x14ac:dyDescent="0.35">
      <c r="A14" s="4">
        <v>1</v>
      </c>
      <c r="B14" s="4">
        <v>42849</v>
      </c>
      <c r="C14" s="5" t="s">
        <v>89</v>
      </c>
      <c r="D14" s="4" t="s">
        <v>87</v>
      </c>
      <c r="E14" s="4">
        <v>2009</v>
      </c>
      <c r="F14" s="4" t="s">
        <v>164</v>
      </c>
      <c r="G14" s="5" t="s">
        <v>62</v>
      </c>
      <c r="H14" s="5" t="s">
        <v>85</v>
      </c>
      <c r="I14" s="5" t="s">
        <v>88</v>
      </c>
      <c r="J14" s="5" t="s">
        <v>123</v>
      </c>
      <c r="K14" s="16">
        <v>928699.8</v>
      </c>
      <c r="L14" s="11" t="s">
        <v>150</v>
      </c>
      <c r="M14" s="117">
        <f t="shared" si="3"/>
        <v>928699.8</v>
      </c>
      <c r="N14" s="11">
        <v>21161</v>
      </c>
      <c r="O14" s="19">
        <v>449534</v>
      </c>
      <c r="P14" s="5" t="s">
        <v>126</v>
      </c>
      <c r="Q14" s="9" t="s">
        <v>152</v>
      </c>
      <c r="R14" s="9" t="s">
        <v>152</v>
      </c>
      <c r="S14" s="9">
        <f t="shared" si="1"/>
        <v>14</v>
      </c>
      <c r="T14" s="24">
        <f t="shared" si="2"/>
        <v>1511.5</v>
      </c>
    </row>
    <row r="15" spans="1:20" x14ac:dyDescent="0.35">
      <c r="A15" s="4">
        <v>1</v>
      </c>
      <c r="B15" s="4">
        <v>42850</v>
      </c>
      <c r="C15" s="5" t="s">
        <v>89</v>
      </c>
      <c r="D15" s="4" t="s">
        <v>87</v>
      </c>
      <c r="E15" s="4">
        <v>2009</v>
      </c>
      <c r="F15" s="4" t="s">
        <v>164</v>
      </c>
      <c r="G15" s="5" t="s">
        <v>28</v>
      </c>
      <c r="H15" s="5" t="s">
        <v>92</v>
      </c>
      <c r="I15" s="5" t="s">
        <v>93</v>
      </c>
      <c r="J15" s="5" t="s">
        <v>123</v>
      </c>
      <c r="K15" s="16">
        <v>928699.8</v>
      </c>
      <c r="L15" s="11" t="s">
        <v>150</v>
      </c>
      <c r="M15" s="117">
        <f t="shared" si="3"/>
        <v>928699.8</v>
      </c>
      <c r="N15" s="11">
        <v>16269</v>
      </c>
      <c r="O15" s="19">
        <v>333803</v>
      </c>
      <c r="P15" s="5" t="s">
        <v>126</v>
      </c>
      <c r="Q15" s="9" t="s">
        <v>152</v>
      </c>
      <c r="R15" s="9" t="s">
        <v>152</v>
      </c>
      <c r="S15" s="9">
        <f t="shared" si="1"/>
        <v>14</v>
      </c>
      <c r="T15" s="24">
        <f t="shared" si="2"/>
        <v>1162.0714285714287</v>
      </c>
    </row>
    <row r="16" spans="1:20" ht="25" x14ac:dyDescent="0.35">
      <c r="A16" s="4">
        <v>1</v>
      </c>
      <c r="B16" s="4">
        <v>42853</v>
      </c>
      <c r="C16" s="5" t="s">
        <v>89</v>
      </c>
      <c r="D16" s="4" t="s">
        <v>96</v>
      </c>
      <c r="E16" s="4">
        <v>2009</v>
      </c>
      <c r="F16" s="4" t="s">
        <v>164</v>
      </c>
      <c r="G16" s="5" t="s">
        <v>9</v>
      </c>
      <c r="H16" s="5" t="s">
        <v>97</v>
      </c>
      <c r="I16" s="5" t="s">
        <v>98</v>
      </c>
      <c r="J16" s="5" t="s">
        <v>123</v>
      </c>
      <c r="K16" s="16">
        <v>928699.8</v>
      </c>
      <c r="L16" s="11" t="s">
        <v>150</v>
      </c>
      <c r="M16" s="117">
        <f t="shared" si="3"/>
        <v>928699.8</v>
      </c>
      <c r="N16" s="11">
        <v>19911</v>
      </c>
      <c r="O16" s="19">
        <v>210692</v>
      </c>
      <c r="P16" s="8" t="s">
        <v>140</v>
      </c>
      <c r="Q16" s="9" t="s">
        <v>152</v>
      </c>
      <c r="R16" s="9" t="s">
        <v>152</v>
      </c>
      <c r="S16" s="9">
        <f t="shared" si="1"/>
        <v>14</v>
      </c>
      <c r="T16" s="24">
        <f t="shared" si="2"/>
        <v>1422.2142857142858</v>
      </c>
    </row>
    <row r="17" spans="1:20" ht="37.5" x14ac:dyDescent="0.35">
      <c r="A17" s="4">
        <v>1</v>
      </c>
      <c r="B17" s="4">
        <v>42859</v>
      </c>
      <c r="C17" s="5" t="s">
        <v>89</v>
      </c>
      <c r="D17" s="4" t="s">
        <v>105</v>
      </c>
      <c r="E17" s="7">
        <v>2009</v>
      </c>
      <c r="F17" s="4" t="s">
        <v>164</v>
      </c>
      <c r="G17" s="5" t="s">
        <v>35</v>
      </c>
      <c r="H17" s="5" t="s">
        <v>106</v>
      </c>
      <c r="I17" s="5" t="s">
        <v>107</v>
      </c>
      <c r="J17" s="5" t="s">
        <v>123</v>
      </c>
      <c r="K17" s="16">
        <v>928699.8</v>
      </c>
      <c r="L17" s="11" t="s">
        <v>150</v>
      </c>
      <c r="M17" s="117">
        <f t="shared" si="3"/>
        <v>928699.8</v>
      </c>
      <c r="N17" s="11">
        <v>24065</v>
      </c>
      <c r="O17" s="19">
        <v>217964</v>
      </c>
      <c r="P17" s="3" t="s">
        <v>142</v>
      </c>
      <c r="Q17" s="9" t="s">
        <v>153</v>
      </c>
      <c r="R17" s="9" t="s">
        <v>152</v>
      </c>
      <c r="S17" s="9">
        <f t="shared" si="1"/>
        <v>14</v>
      </c>
      <c r="T17" s="24">
        <f t="shared" si="2"/>
        <v>1718.9285714285713</v>
      </c>
    </row>
    <row r="18" spans="1:20" x14ac:dyDescent="0.35">
      <c r="A18" s="4">
        <v>1</v>
      </c>
      <c r="B18" s="4">
        <v>42860</v>
      </c>
      <c r="C18" s="5" t="s">
        <v>89</v>
      </c>
      <c r="D18" s="4" t="s">
        <v>105</v>
      </c>
      <c r="E18" s="4">
        <v>2009</v>
      </c>
      <c r="F18" s="4" t="s">
        <v>165</v>
      </c>
      <c r="G18" s="5" t="s">
        <v>44</v>
      </c>
      <c r="H18" s="5" t="s">
        <v>110</v>
      </c>
      <c r="I18" s="5" t="s">
        <v>111</v>
      </c>
      <c r="J18" s="5" t="s">
        <v>123</v>
      </c>
      <c r="K18" s="16">
        <v>928699.8</v>
      </c>
      <c r="L18" s="11" t="s">
        <v>150</v>
      </c>
      <c r="M18" s="117">
        <f t="shared" si="3"/>
        <v>928699.8</v>
      </c>
      <c r="N18" s="11">
        <v>9674</v>
      </c>
      <c r="O18" s="19">
        <v>197830</v>
      </c>
      <c r="P18" s="5" t="s">
        <v>126</v>
      </c>
      <c r="Q18" s="9" t="s">
        <v>152</v>
      </c>
      <c r="R18" s="9" t="s">
        <v>152</v>
      </c>
      <c r="S18" s="9">
        <f t="shared" si="1"/>
        <v>14</v>
      </c>
      <c r="T18" s="24">
        <f t="shared" si="2"/>
        <v>691</v>
      </c>
    </row>
    <row r="19" spans="1:20" ht="25" x14ac:dyDescent="0.35">
      <c r="A19" s="4">
        <v>1</v>
      </c>
      <c r="B19" s="4">
        <v>42540</v>
      </c>
      <c r="C19" s="5" t="s">
        <v>54</v>
      </c>
      <c r="D19" s="4" t="s">
        <v>61</v>
      </c>
      <c r="E19" s="4">
        <v>2007</v>
      </c>
      <c r="F19" s="4" t="s">
        <v>164</v>
      </c>
      <c r="G19" s="5" t="s">
        <v>28</v>
      </c>
      <c r="H19" s="5" t="s">
        <v>69</v>
      </c>
      <c r="I19" s="5" t="s">
        <v>70</v>
      </c>
      <c r="J19" s="5" t="s">
        <v>122</v>
      </c>
      <c r="K19" s="16">
        <v>27920566</v>
      </c>
      <c r="L19" s="11" t="s">
        <v>149</v>
      </c>
      <c r="M19" s="117">
        <f t="shared" ref="M19:M48" si="4">K19/30.126</f>
        <v>926793.00272190128</v>
      </c>
      <c r="N19" s="11">
        <v>33974</v>
      </c>
      <c r="O19" s="19">
        <v>96788</v>
      </c>
      <c r="P19" s="3" t="s">
        <v>135</v>
      </c>
      <c r="Q19" s="9" t="s">
        <v>153</v>
      </c>
      <c r="R19" s="9" t="s">
        <v>152</v>
      </c>
      <c r="S19" s="9">
        <f t="shared" si="1"/>
        <v>16</v>
      </c>
      <c r="T19" s="24">
        <f t="shared" si="2"/>
        <v>2123.375</v>
      </c>
    </row>
    <row r="20" spans="1:20" ht="25" x14ac:dyDescent="0.35">
      <c r="A20" s="4">
        <v>1</v>
      </c>
      <c r="B20" s="4">
        <v>42543</v>
      </c>
      <c r="C20" s="5" t="s">
        <v>54</v>
      </c>
      <c r="D20" s="4" t="s">
        <v>51</v>
      </c>
      <c r="E20" s="4">
        <v>2003</v>
      </c>
      <c r="F20" s="4" t="s">
        <v>164</v>
      </c>
      <c r="G20" s="5" t="s">
        <v>24</v>
      </c>
      <c r="H20" s="5" t="s">
        <v>52</v>
      </c>
      <c r="I20" s="5" t="s">
        <v>53</v>
      </c>
      <c r="J20" s="5" t="s">
        <v>120</v>
      </c>
      <c r="K20" s="16">
        <v>27920565</v>
      </c>
      <c r="L20" s="11" t="s">
        <v>149</v>
      </c>
      <c r="M20" s="117">
        <f t="shared" si="4"/>
        <v>926792.96952798241</v>
      </c>
      <c r="N20" s="11">
        <v>24595</v>
      </c>
      <c r="O20" s="19">
        <v>28238</v>
      </c>
      <c r="P20" s="5" t="s">
        <v>126</v>
      </c>
      <c r="Q20" s="9" t="s">
        <v>152</v>
      </c>
      <c r="R20" s="9" t="s">
        <v>152</v>
      </c>
      <c r="S20" s="9">
        <f t="shared" si="1"/>
        <v>20</v>
      </c>
      <c r="T20" s="24">
        <f t="shared" si="2"/>
        <v>1229.75</v>
      </c>
    </row>
    <row r="21" spans="1:20" ht="25" x14ac:dyDescent="0.35">
      <c r="A21" s="4">
        <v>1</v>
      </c>
      <c r="B21" s="4">
        <v>42482</v>
      </c>
      <c r="C21" s="5" t="s">
        <v>54</v>
      </c>
      <c r="D21" s="4" t="s">
        <v>71</v>
      </c>
      <c r="E21" s="4">
        <v>2007</v>
      </c>
      <c r="F21" s="4" t="s">
        <v>164</v>
      </c>
      <c r="G21" s="5" t="s">
        <v>9</v>
      </c>
      <c r="H21" s="5" t="s">
        <v>14</v>
      </c>
      <c r="I21" s="5" t="s">
        <v>47</v>
      </c>
      <c r="J21" s="5" t="s">
        <v>121</v>
      </c>
      <c r="K21" s="16">
        <v>27920565</v>
      </c>
      <c r="L21" s="11" t="s">
        <v>149</v>
      </c>
      <c r="M21" s="117">
        <f t="shared" si="4"/>
        <v>926792.96952798241</v>
      </c>
      <c r="N21" s="11">
        <v>32446</v>
      </c>
      <c r="O21" s="19">
        <v>87989</v>
      </c>
      <c r="P21" s="5" t="s">
        <v>139</v>
      </c>
      <c r="Q21" s="9" t="s">
        <v>152</v>
      </c>
      <c r="R21" s="9" t="s">
        <v>152</v>
      </c>
      <c r="S21" s="9">
        <f t="shared" si="1"/>
        <v>16</v>
      </c>
      <c r="T21" s="24">
        <f t="shared" si="2"/>
        <v>2027.875</v>
      </c>
    </row>
    <row r="22" spans="1:20" ht="25" x14ac:dyDescent="0.35">
      <c r="A22" s="4">
        <v>1</v>
      </c>
      <c r="B22" s="4">
        <v>42509</v>
      </c>
      <c r="C22" s="5" t="s">
        <v>54</v>
      </c>
      <c r="D22" s="4" t="s">
        <v>61</v>
      </c>
      <c r="E22" s="7">
        <v>2007</v>
      </c>
      <c r="F22" s="4" t="s">
        <v>164</v>
      </c>
      <c r="G22" s="5" t="s">
        <v>35</v>
      </c>
      <c r="H22" s="5" t="s">
        <v>81</v>
      </c>
      <c r="I22" s="5" t="s">
        <v>82</v>
      </c>
      <c r="J22" s="5" t="s">
        <v>122</v>
      </c>
      <c r="K22" s="16">
        <v>27920565</v>
      </c>
      <c r="L22" s="11" t="s">
        <v>149</v>
      </c>
      <c r="M22" s="117">
        <f t="shared" si="4"/>
        <v>926792.96952798241</v>
      </c>
      <c r="N22" s="11">
        <v>24961</v>
      </c>
      <c r="O22" s="19">
        <v>86893</v>
      </c>
      <c r="P22" s="3" t="s">
        <v>137</v>
      </c>
      <c r="Q22" s="9" t="s">
        <v>153</v>
      </c>
      <c r="S22" s="9">
        <f t="shared" si="1"/>
        <v>16</v>
      </c>
      <c r="T22" s="24">
        <f t="shared" si="2"/>
        <v>1560.0625</v>
      </c>
    </row>
    <row r="23" spans="1:20" ht="25" x14ac:dyDescent="0.35">
      <c r="A23" s="4">
        <v>1</v>
      </c>
      <c r="B23" s="4">
        <v>42511</v>
      </c>
      <c r="C23" s="5" t="s">
        <v>54</v>
      </c>
      <c r="D23" s="4" t="s">
        <v>61</v>
      </c>
      <c r="E23" s="4">
        <v>2007</v>
      </c>
      <c r="F23" s="4" t="s">
        <v>164</v>
      </c>
      <c r="G23" s="5" t="s">
        <v>28</v>
      </c>
      <c r="H23" s="5" t="s">
        <v>66</v>
      </c>
      <c r="I23" s="5" t="s">
        <v>67</v>
      </c>
      <c r="J23" s="5" t="s">
        <v>122</v>
      </c>
      <c r="K23" s="16">
        <v>27920565</v>
      </c>
      <c r="L23" s="11" t="s">
        <v>149</v>
      </c>
      <c r="M23" s="117">
        <f t="shared" si="4"/>
        <v>926792.96952798241</v>
      </c>
      <c r="N23" s="11">
        <v>38636</v>
      </c>
      <c r="O23" s="19">
        <v>106491</v>
      </c>
      <c r="P23" s="5" t="s">
        <v>126</v>
      </c>
      <c r="Q23" s="9" t="s">
        <v>152</v>
      </c>
      <c r="R23" s="9" t="s">
        <v>152</v>
      </c>
      <c r="S23" s="9">
        <f t="shared" si="1"/>
        <v>16</v>
      </c>
      <c r="T23" s="24">
        <f t="shared" si="2"/>
        <v>2414.75</v>
      </c>
    </row>
    <row r="24" spans="1:20" ht="25" x14ac:dyDescent="0.35">
      <c r="A24" s="4">
        <v>1</v>
      </c>
      <c r="B24" s="4">
        <v>42524</v>
      </c>
      <c r="C24" s="5" t="s">
        <v>54</v>
      </c>
      <c r="D24" s="4" t="s">
        <v>51</v>
      </c>
      <c r="E24" s="4">
        <v>2007</v>
      </c>
      <c r="F24" s="4" t="s">
        <v>164</v>
      </c>
      <c r="G24" s="5" t="s">
        <v>28</v>
      </c>
      <c r="H24" s="5" t="s">
        <v>31</v>
      </c>
      <c r="I24" s="5" t="s">
        <v>68</v>
      </c>
      <c r="J24" s="5" t="s">
        <v>122</v>
      </c>
      <c r="K24" s="16">
        <v>27920565</v>
      </c>
      <c r="L24" s="11" t="s">
        <v>149</v>
      </c>
      <c r="M24" s="117">
        <f t="shared" si="4"/>
        <v>926792.96952798241</v>
      </c>
      <c r="N24" s="11">
        <v>46677</v>
      </c>
      <c r="O24" s="19">
        <v>34389</v>
      </c>
      <c r="P24" s="3" t="s">
        <v>125</v>
      </c>
      <c r="Q24" s="9" t="s">
        <v>153</v>
      </c>
      <c r="S24" s="9">
        <f t="shared" si="1"/>
        <v>16</v>
      </c>
      <c r="T24" s="24">
        <f t="shared" si="2"/>
        <v>2917.3125</v>
      </c>
    </row>
    <row r="25" spans="1:20" ht="25" x14ac:dyDescent="0.35">
      <c r="A25" s="4">
        <v>1</v>
      </c>
      <c r="B25" s="4">
        <v>42525</v>
      </c>
      <c r="C25" s="5" t="s">
        <v>54</v>
      </c>
      <c r="D25" s="4" t="s">
        <v>51</v>
      </c>
      <c r="E25" s="4">
        <v>2007</v>
      </c>
      <c r="F25" s="4" t="s">
        <v>164</v>
      </c>
      <c r="G25" s="5" t="s">
        <v>24</v>
      </c>
      <c r="H25" s="5" t="s">
        <v>72</v>
      </c>
      <c r="I25" s="5" t="s">
        <v>73</v>
      </c>
      <c r="J25" s="5" t="s">
        <v>122</v>
      </c>
      <c r="K25" s="16">
        <v>27920565</v>
      </c>
      <c r="L25" s="11" t="s">
        <v>149</v>
      </c>
      <c r="M25" s="117">
        <f t="shared" si="4"/>
        <v>926792.96952798241</v>
      </c>
      <c r="N25" s="11">
        <v>6429</v>
      </c>
      <c r="O25" s="19">
        <v>276936</v>
      </c>
      <c r="P25" s="5" t="s">
        <v>126</v>
      </c>
      <c r="Q25" s="9" t="s">
        <v>152</v>
      </c>
      <c r="R25" s="9" t="s">
        <v>152</v>
      </c>
      <c r="S25" s="9">
        <f t="shared" si="1"/>
        <v>16</v>
      </c>
      <c r="T25" s="24">
        <f t="shared" si="2"/>
        <v>401.8125</v>
      </c>
    </row>
    <row r="26" spans="1:20" ht="25" x14ac:dyDescent="0.35">
      <c r="A26" s="4">
        <v>1</v>
      </c>
      <c r="B26" s="4">
        <v>42528</v>
      </c>
      <c r="C26" s="5" t="s">
        <v>54</v>
      </c>
      <c r="D26" s="4" t="s">
        <v>61</v>
      </c>
      <c r="E26" s="4">
        <v>2007</v>
      </c>
      <c r="F26" s="4" t="s">
        <v>164</v>
      </c>
      <c r="G26" s="5" t="s">
        <v>76</v>
      </c>
      <c r="H26" s="5" t="s">
        <v>77</v>
      </c>
      <c r="I26" s="5" t="s">
        <v>78</v>
      </c>
      <c r="J26" s="5" t="s">
        <v>122</v>
      </c>
      <c r="K26" s="16">
        <v>27920565</v>
      </c>
      <c r="L26" s="11" t="s">
        <v>149</v>
      </c>
      <c r="M26" s="117">
        <f t="shared" si="4"/>
        <v>926792.96952798241</v>
      </c>
      <c r="N26" s="11">
        <v>26023</v>
      </c>
      <c r="O26" s="19">
        <v>35914</v>
      </c>
      <c r="P26" s="5" t="s">
        <v>136</v>
      </c>
      <c r="Q26" s="9" t="s">
        <v>152</v>
      </c>
      <c r="R26" s="9" t="s">
        <v>152</v>
      </c>
      <c r="S26" s="9">
        <f t="shared" si="1"/>
        <v>16</v>
      </c>
      <c r="T26" s="24">
        <f t="shared" si="2"/>
        <v>1626.4375</v>
      </c>
    </row>
    <row r="27" spans="1:20" ht="25" x14ac:dyDescent="0.35">
      <c r="A27" s="4">
        <v>1</v>
      </c>
      <c r="B27" s="4">
        <v>42529</v>
      </c>
      <c r="C27" s="5" t="s">
        <v>54</v>
      </c>
      <c r="D27" s="4" t="s">
        <v>61</v>
      </c>
      <c r="E27" s="4">
        <v>2007</v>
      </c>
      <c r="F27" s="4" t="s">
        <v>164</v>
      </c>
      <c r="G27" s="5" t="s">
        <v>62</v>
      </c>
      <c r="H27" s="5" t="s">
        <v>63</v>
      </c>
      <c r="I27" s="5" t="s">
        <v>64</v>
      </c>
      <c r="J27" s="5" t="s">
        <v>122</v>
      </c>
      <c r="K27" s="16">
        <v>27920565</v>
      </c>
      <c r="L27" s="11" t="s">
        <v>149</v>
      </c>
      <c r="M27" s="117">
        <f t="shared" si="4"/>
        <v>926792.96952798241</v>
      </c>
      <c r="N27" s="11">
        <v>29312</v>
      </c>
      <c r="O27" s="19">
        <v>115551</v>
      </c>
      <c r="P27" s="3" t="s">
        <v>65</v>
      </c>
      <c r="Q27" s="9" t="s">
        <v>153</v>
      </c>
      <c r="S27" s="9">
        <f t="shared" si="1"/>
        <v>16</v>
      </c>
      <c r="T27" s="24">
        <f t="shared" si="2"/>
        <v>1832</v>
      </c>
    </row>
    <row r="28" spans="1:20" ht="25" x14ac:dyDescent="0.35">
      <c r="A28" s="4">
        <v>1</v>
      </c>
      <c r="B28" s="4">
        <v>42534</v>
      </c>
      <c r="C28" s="5" t="s">
        <v>54</v>
      </c>
      <c r="D28" s="4" t="s">
        <v>51</v>
      </c>
      <c r="E28" s="4">
        <v>2007</v>
      </c>
      <c r="F28" s="4" t="s">
        <v>164</v>
      </c>
      <c r="G28" s="5" t="s">
        <v>58</v>
      </c>
      <c r="H28" s="5" t="s">
        <v>74</v>
      </c>
      <c r="I28" s="5" t="s">
        <v>75</v>
      </c>
      <c r="J28" s="5" t="s">
        <v>120</v>
      </c>
      <c r="K28" s="16">
        <v>27920565</v>
      </c>
      <c r="L28" s="11" t="s">
        <v>149</v>
      </c>
      <c r="M28" s="117">
        <f t="shared" si="4"/>
        <v>926792.96952798241</v>
      </c>
      <c r="N28" s="11">
        <v>27358</v>
      </c>
      <c r="O28" s="19">
        <v>23917</v>
      </c>
      <c r="P28" s="5" t="s">
        <v>126</v>
      </c>
      <c r="Q28" s="9" t="s">
        <v>152</v>
      </c>
      <c r="R28" s="9" t="s">
        <v>152</v>
      </c>
      <c r="S28" s="9">
        <f t="shared" si="1"/>
        <v>16</v>
      </c>
      <c r="T28" s="24">
        <f t="shared" si="2"/>
        <v>1709.875</v>
      </c>
    </row>
    <row r="29" spans="1:20" ht="25" x14ac:dyDescent="0.35">
      <c r="A29" s="4">
        <v>1</v>
      </c>
      <c r="B29" s="4">
        <v>42542</v>
      </c>
      <c r="C29" s="5" t="s">
        <v>54</v>
      </c>
      <c r="D29" s="4" t="s">
        <v>61</v>
      </c>
      <c r="E29" s="4">
        <v>2007</v>
      </c>
      <c r="F29" s="4" t="s">
        <v>164</v>
      </c>
      <c r="G29" s="5" t="s">
        <v>76</v>
      </c>
      <c r="H29" s="5" t="s">
        <v>79</v>
      </c>
      <c r="I29" s="5" t="s">
        <v>80</v>
      </c>
      <c r="J29" s="5" t="s">
        <v>122</v>
      </c>
      <c r="K29" s="16">
        <v>27920565</v>
      </c>
      <c r="L29" s="11" t="s">
        <v>149</v>
      </c>
      <c r="M29" s="117">
        <f t="shared" si="4"/>
        <v>926792.96952798241</v>
      </c>
      <c r="N29" s="11">
        <v>21455</v>
      </c>
      <c r="O29" s="19">
        <v>112752</v>
      </c>
      <c r="P29" s="5" t="s">
        <v>136</v>
      </c>
      <c r="Q29" s="9" t="s">
        <v>152</v>
      </c>
      <c r="S29" s="9">
        <f t="shared" si="1"/>
        <v>16</v>
      </c>
      <c r="T29" s="24">
        <f t="shared" si="2"/>
        <v>1340.9375</v>
      </c>
    </row>
    <row r="30" spans="1:20" ht="25" x14ac:dyDescent="0.35">
      <c r="A30" s="4">
        <v>1</v>
      </c>
      <c r="B30" s="4">
        <v>42506</v>
      </c>
      <c r="C30" s="5" t="s">
        <v>54</v>
      </c>
      <c r="D30" s="4" t="s">
        <v>61</v>
      </c>
      <c r="E30" s="4">
        <v>2008</v>
      </c>
      <c r="F30" s="4" t="s">
        <v>164</v>
      </c>
      <c r="G30" s="5" t="s">
        <v>9</v>
      </c>
      <c r="H30" s="5" t="s">
        <v>10</v>
      </c>
      <c r="I30" s="5" t="s">
        <v>83</v>
      </c>
      <c r="J30" s="5" t="s">
        <v>121</v>
      </c>
      <c r="K30" s="16">
        <v>27920565</v>
      </c>
      <c r="L30" s="11" t="s">
        <v>149</v>
      </c>
      <c r="M30" s="117">
        <f t="shared" si="4"/>
        <v>926792.96952798241</v>
      </c>
      <c r="N30" s="11">
        <v>29483</v>
      </c>
      <c r="O30" s="19">
        <v>127332</v>
      </c>
      <c r="P30" s="5" t="s">
        <v>126</v>
      </c>
      <c r="Q30" s="9" t="s">
        <v>152</v>
      </c>
      <c r="R30" s="9" t="s">
        <v>152</v>
      </c>
      <c r="S30" s="9">
        <f t="shared" si="1"/>
        <v>15</v>
      </c>
      <c r="T30" s="24">
        <f t="shared" si="2"/>
        <v>1965.5333333333333</v>
      </c>
    </row>
    <row r="31" spans="1:20" x14ac:dyDescent="0.35">
      <c r="A31" s="4">
        <v>1</v>
      </c>
      <c r="B31" s="4">
        <v>42247</v>
      </c>
      <c r="C31" s="5" t="s">
        <v>57</v>
      </c>
      <c r="D31" s="4" t="s">
        <v>55</v>
      </c>
      <c r="E31" s="4">
        <v>2004</v>
      </c>
      <c r="F31" s="4" t="s">
        <v>164</v>
      </c>
      <c r="G31" s="5" t="s">
        <v>58</v>
      </c>
      <c r="H31" s="5" t="s">
        <v>59</v>
      </c>
      <c r="I31" s="5" t="s">
        <v>60</v>
      </c>
      <c r="J31" s="5" t="s">
        <v>123</v>
      </c>
      <c r="K31" s="16">
        <v>27400000</v>
      </c>
      <c r="L31" s="11" t="s">
        <v>149</v>
      </c>
      <c r="M31" s="117">
        <f t="shared" si="4"/>
        <v>909513.37714930624</v>
      </c>
      <c r="N31" s="11">
        <v>21095</v>
      </c>
      <c r="O31" s="19">
        <v>197267</v>
      </c>
      <c r="P31" s="5" t="s">
        <v>126</v>
      </c>
      <c r="Q31" s="9" t="s">
        <v>152</v>
      </c>
      <c r="R31" s="9" t="s">
        <v>152</v>
      </c>
      <c r="S31" s="9">
        <f t="shared" si="1"/>
        <v>19</v>
      </c>
      <c r="T31" s="24">
        <f t="shared" si="2"/>
        <v>1110.2631578947369</v>
      </c>
    </row>
    <row r="32" spans="1:20" x14ac:dyDescent="0.35">
      <c r="A32" s="4">
        <v>1</v>
      </c>
      <c r="B32" s="4">
        <v>42249</v>
      </c>
      <c r="C32" s="5" t="s">
        <v>57</v>
      </c>
      <c r="D32" s="4" t="s">
        <v>55</v>
      </c>
      <c r="E32" s="4">
        <v>2004</v>
      </c>
      <c r="F32" s="4" t="s">
        <v>164</v>
      </c>
      <c r="G32" s="5" t="s">
        <v>24</v>
      </c>
      <c r="H32" s="5" t="s">
        <v>25</v>
      </c>
      <c r="I32" s="5" t="s">
        <v>56</v>
      </c>
      <c r="J32" s="5" t="s">
        <v>123</v>
      </c>
      <c r="K32" s="16">
        <v>27400000</v>
      </c>
      <c r="L32" s="11" t="s">
        <v>149</v>
      </c>
      <c r="M32" s="117">
        <f t="shared" si="4"/>
        <v>909513.37714930624</v>
      </c>
      <c r="N32" s="11">
        <v>5462</v>
      </c>
      <c r="O32" s="19">
        <v>202871</v>
      </c>
      <c r="P32" s="5" t="s">
        <v>126</v>
      </c>
      <c r="Q32" s="9" t="s">
        <v>152</v>
      </c>
      <c r="S32" s="9">
        <f t="shared" si="1"/>
        <v>19</v>
      </c>
      <c r="T32" s="24">
        <f t="shared" si="2"/>
        <v>287.4736842105263</v>
      </c>
    </row>
    <row r="33" spans="1:20" ht="37.5" x14ac:dyDescent="0.35">
      <c r="A33" s="4">
        <v>1</v>
      </c>
      <c r="B33" s="4">
        <v>60693</v>
      </c>
      <c r="C33" s="5" t="s">
        <v>43</v>
      </c>
      <c r="D33" s="4" t="s">
        <v>40</v>
      </c>
      <c r="E33" s="7">
        <v>1990</v>
      </c>
      <c r="F33" s="4" t="s">
        <v>163</v>
      </c>
      <c r="G33" s="5" t="s">
        <v>35</v>
      </c>
      <c r="H33" s="5" t="s">
        <v>41</v>
      </c>
      <c r="I33" s="5" t="s">
        <v>42</v>
      </c>
      <c r="J33" s="5" t="s">
        <v>122</v>
      </c>
      <c r="K33" s="16">
        <v>19806869.5</v>
      </c>
      <c r="L33" s="11" t="s">
        <v>149</v>
      </c>
      <c r="M33" s="117">
        <f t="shared" si="4"/>
        <v>657467.61933213833</v>
      </c>
      <c r="N33" s="11">
        <v>19351</v>
      </c>
      <c r="O33" s="19">
        <v>152871</v>
      </c>
      <c r="P33" s="3" t="s">
        <v>128</v>
      </c>
      <c r="Q33" s="9" t="s">
        <v>153</v>
      </c>
      <c r="R33" s="9" t="s">
        <v>152</v>
      </c>
      <c r="S33" s="9">
        <f t="shared" si="1"/>
        <v>33</v>
      </c>
      <c r="T33" s="24">
        <f t="shared" si="2"/>
        <v>586.39393939393938</v>
      </c>
    </row>
    <row r="34" spans="1:20" ht="25" x14ac:dyDescent="0.35">
      <c r="A34" s="4">
        <v>1</v>
      </c>
      <c r="B34" s="4">
        <v>42176</v>
      </c>
      <c r="C34" s="5" t="s">
        <v>23</v>
      </c>
      <c r="D34" s="4" t="s">
        <v>19</v>
      </c>
      <c r="E34" s="4">
        <v>1987</v>
      </c>
      <c r="F34" s="4" t="s">
        <v>162</v>
      </c>
      <c r="G34" s="5" t="s">
        <v>20</v>
      </c>
      <c r="H34" s="5" t="s">
        <v>21</v>
      </c>
      <c r="I34" s="5" t="s">
        <v>22</v>
      </c>
      <c r="J34" s="5" t="s">
        <v>121</v>
      </c>
      <c r="K34" s="16">
        <v>9639157.8800000008</v>
      </c>
      <c r="L34" s="11" t="s">
        <v>149</v>
      </c>
      <c r="M34" s="117">
        <f t="shared" si="4"/>
        <v>319961.4246829981</v>
      </c>
      <c r="N34" s="11">
        <v>14846</v>
      </c>
      <c r="O34" s="19">
        <v>37022</v>
      </c>
      <c r="P34" s="3" t="s">
        <v>124</v>
      </c>
      <c r="Q34" s="9" t="s">
        <v>153</v>
      </c>
      <c r="R34" s="9" t="s">
        <v>152</v>
      </c>
      <c r="S34" s="9">
        <f t="shared" si="1"/>
        <v>36</v>
      </c>
      <c r="T34" s="24">
        <f t="shared" si="2"/>
        <v>412.38888888888891</v>
      </c>
    </row>
    <row r="35" spans="1:20" ht="25" x14ac:dyDescent="0.35">
      <c r="A35" s="4">
        <v>1</v>
      </c>
      <c r="B35" s="4">
        <v>60578</v>
      </c>
      <c r="C35" s="5" t="s">
        <v>16</v>
      </c>
      <c r="D35" s="4" t="s">
        <v>13</v>
      </c>
      <c r="E35" s="4">
        <v>1985</v>
      </c>
      <c r="F35" s="4" t="s">
        <v>162</v>
      </c>
      <c r="G35" s="5" t="s">
        <v>9</v>
      </c>
      <c r="H35" s="5" t="s">
        <v>14</v>
      </c>
      <c r="I35" s="5" t="s">
        <v>15</v>
      </c>
      <c r="J35" s="5" t="s">
        <v>120</v>
      </c>
      <c r="K35" s="16">
        <v>4460370</v>
      </c>
      <c r="L35" s="11" t="s">
        <v>149</v>
      </c>
      <c r="M35" s="117">
        <f t="shared" si="4"/>
        <v>148057.15992830112</v>
      </c>
      <c r="N35" s="11">
        <v>27543</v>
      </c>
      <c r="O35" s="19">
        <v>38179</v>
      </c>
      <c r="P35" s="5" t="s">
        <v>130</v>
      </c>
      <c r="Q35" s="9" t="s">
        <v>152</v>
      </c>
      <c r="R35" s="9" t="s">
        <v>152</v>
      </c>
      <c r="S35" s="9">
        <f t="shared" si="1"/>
        <v>38</v>
      </c>
      <c r="T35" s="24">
        <f t="shared" si="2"/>
        <v>724.81578947368416</v>
      </c>
    </row>
    <row r="36" spans="1:20" ht="25" x14ac:dyDescent="0.35">
      <c r="A36" s="4">
        <v>1</v>
      </c>
      <c r="B36" s="4">
        <v>60500</v>
      </c>
      <c r="C36" s="5" t="s">
        <v>16</v>
      </c>
      <c r="D36" s="4" t="s">
        <v>13</v>
      </c>
      <c r="E36" s="4">
        <v>1990</v>
      </c>
      <c r="F36" s="4" t="s">
        <v>163</v>
      </c>
      <c r="G36" s="5" t="s">
        <v>9</v>
      </c>
      <c r="H36" s="5" t="s">
        <v>10</v>
      </c>
      <c r="I36" s="5" t="s">
        <v>11</v>
      </c>
      <c r="J36" s="5" t="s">
        <v>120</v>
      </c>
      <c r="K36" s="16">
        <v>1500000</v>
      </c>
      <c r="L36" s="11" t="s">
        <v>149</v>
      </c>
      <c r="M36" s="117">
        <f t="shared" si="4"/>
        <v>49790.878311093409</v>
      </c>
      <c r="N36" s="11">
        <v>12584</v>
      </c>
      <c r="O36" s="19">
        <v>39986</v>
      </c>
      <c r="P36" s="5" t="s">
        <v>132</v>
      </c>
      <c r="Q36" s="9" t="s">
        <v>152</v>
      </c>
      <c r="R36" s="9" t="s">
        <v>152</v>
      </c>
      <c r="S36" s="9">
        <f t="shared" si="1"/>
        <v>33</v>
      </c>
      <c r="T36" s="24">
        <f t="shared" si="2"/>
        <v>381.33333333333331</v>
      </c>
    </row>
    <row r="37" spans="1:20" ht="25" x14ac:dyDescent="0.35">
      <c r="A37" s="4">
        <v>1</v>
      </c>
      <c r="B37" s="4">
        <v>60532</v>
      </c>
      <c r="C37" s="5" t="s">
        <v>16</v>
      </c>
      <c r="D37" s="4" t="s">
        <v>13</v>
      </c>
      <c r="E37" s="4">
        <v>1991</v>
      </c>
      <c r="F37" s="4" t="s">
        <v>163</v>
      </c>
      <c r="G37" s="5" t="s">
        <v>9</v>
      </c>
      <c r="H37" s="5" t="s">
        <v>14</v>
      </c>
      <c r="I37" s="5" t="s">
        <v>47</v>
      </c>
      <c r="J37" s="5" t="s">
        <v>121</v>
      </c>
      <c r="K37" s="16">
        <v>1480000</v>
      </c>
      <c r="L37" s="11" t="s">
        <v>149</v>
      </c>
      <c r="M37" s="117">
        <f t="shared" si="4"/>
        <v>49126.999933612162</v>
      </c>
      <c r="N37" s="11">
        <v>18357</v>
      </c>
      <c r="O37" s="19">
        <v>29336</v>
      </c>
      <c r="P37" s="5" t="s">
        <v>134</v>
      </c>
      <c r="Q37" s="9" t="s">
        <v>152</v>
      </c>
      <c r="R37" s="9" t="s">
        <v>152</v>
      </c>
      <c r="S37" s="9">
        <f t="shared" si="1"/>
        <v>32</v>
      </c>
      <c r="T37" s="24">
        <f t="shared" si="2"/>
        <v>573.65625</v>
      </c>
    </row>
    <row r="38" spans="1:20" ht="25" x14ac:dyDescent="0.35">
      <c r="A38" s="4">
        <v>1</v>
      </c>
      <c r="B38" s="4">
        <v>61441</v>
      </c>
      <c r="C38" s="5" t="s">
        <v>12</v>
      </c>
      <c r="D38" s="4" t="s">
        <v>8</v>
      </c>
      <c r="E38" s="6">
        <v>1975</v>
      </c>
      <c r="F38" s="6" t="s">
        <v>161</v>
      </c>
      <c r="G38" s="5" t="s">
        <v>9</v>
      </c>
      <c r="H38" s="5" t="s">
        <v>10</v>
      </c>
      <c r="I38" s="5" t="s">
        <v>11</v>
      </c>
      <c r="J38" s="5" t="s">
        <v>120</v>
      </c>
      <c r="K38" s="16">
        <v>1200000</v>
      </c>
      <c r="L38" s="11" t="s">
        <v>149</v>
      </c>
      <c r="M38" s="117">
        <f t="shared" si="4"/>
        <v>39832.702648874721</v>
      </c>
      <c r="N38" s="11">
        <v>25391</v>
      </c>
      <c r="O38" s="19">
        <v>32393</v>
      </c>
      <c r="P38" s="5" t="s">
        <v>129</v>
      </c>
      <c r="Q38" s="9" t="s">
        <v>152</v>
      </c>
      <c r="S38" s="9">
        <f t="shared" si="1"/>
        <v>48</v>
      </c>
      <c r="T38" s="24">
        <f t="shared" si="2"/>
        <v>528.97916666666663</v>
      </c>
    </row>
    <row r="39" spans="1:20" x14ac:dyDescent="0.35">
      <c r="A39" s="4">
        <v>1</v>
      </c>
      <c r="B39" s="4">
        <v>61018</v>
      </c>
      <c r="C39" s="5" t="s">
        <v>16</v>
      </c>
      <c r="D39" s="4" t="s">
        <v>13</v>
      </c>
      <c r="E39" s="4">
        <v>1988</v>
      </c>
      <c r="F39" s="4" t="s">
        <v>162</v>
      </c>
      <c r="G39" s="5" t="s">
        <v>24</v>
      </c>
      <c r="H39" s="5" t="s">
        <v>25</v>
      </c>
      <c r="I39" s="5" t="s">
        <v>26</v>
      </c>
      <c r="J39" s="5" t="s">
        <v>120</v>
      </c>
      <c r="K39" s="16">
        <v>827903</v>
      </c>
      <c r="L39" s="11" t="s">
        <v>149</v>
      </c>
      <c r="M39" s="117">
        <f t="shared" si="4"/>
        <v>27481.345017592776</v>
      </c>
      <c r="N39" s="11">
        <v>14525</v>
      </c>
      <c r="O39" s="19">
        <v>59575</v>
      </c>
      <c r="P39" s="3" t="s">
        <v>125</v>
      </c>
      <c r="Q39" s="9" t="s">
        <v>153</v>
      </c>
      <c r="S39" s="9">
        <f t="shared" si="1"/>
        <v>35</v>
      </c>
      <c r="T39" s="24">
        <f t="shared" si="2"/>
        <v>415</v>
      </c>
    </row>
    <row r="40" spans="1:20" x14ac:dyDescent="0.35">
      <c r="A40" s="4">
        <v>1</v>
      </c>
      <c r="B40" s="4">
        <v>60527</v>
      </c>
      <c r="C40" s="5" t="s">
        <v>16</v>
      </c>
      <c r="D40" s="4" t="s">
        <v>13</v>
      </c>
      <c r="E40" s="4">
        <v>1987</v>
      </c>
      <c r="F40" s="4" t="s">
        <v>162</v>
      </c>
      <c r="G40" s="5" t="s">
        <v>9</v>
      </c>
      <c r="H40" s="5" t="s">
        <v>17</v>
      </c>
      <c r="I40" s="5" t="s">
        <v>18</v>
      </c>
      <c r="J40" s="5" t="s">
        <v>120</v>
      </c>
      <c r="K40" s="16">
        <v>823513</v>
      </c>
      <c r="L40" s="11" t="s">
        <v>149</v>
      </c>
      <c r="M40" s="117">
        <f t="shared" si="4"/>
        <v>27335.623713735644</v>
      </c>
      <c r="N40" s="11">
        <v>21180</v>
      </c>
      <c r="O40" s="19">
        <v>35182</v>
      </c>
      <c r="P40" s="3" t="s">
        <v>131</v>
      </c>
      <c r="Q40" s="9" t="s">
        <v>153</v>
      </c>
      <c r="R40" s="9" t="s">
        <v>152</v>
      </c>
      <c r="S40" s="9">
        <f t="shared" si="1"/>
        <v>36</v>
      </c>
      <c r="T40" s="24">
        <f t="shared" si="2"/>
        <v>588.33333333333337</v>
      </c>
    </row>
    <row r="41" spans="1:20" x14ac:dyDescent="0.35">
      <c r="A41" s="4">
        <v>1</v>
      </c>
      <c r="B41" s="4">
        <v>60452</v>
      </c>
      <c r="C41" s="5" t="s">
        <v>16</v>
      </c>
      <c r="D41" s="4" t="s">
        <v>27</v>
      </c>
      <c r="E41" s="4">
        <v>1989</v>
      </c>
      <c r="F41" s="4" t="s">
        <v>162</v>
      </c>
      <c r="G41" s="5" t="s">
        <v>28</v>
      </c>
      <c r="H41" s="5" t="s">
        <v>29</v>
      </c>
      <c r="I41" s="5" t="s">
        <v>30</v>
      </c>
      <c r="J41" s="5" t="s">
        <v>122</v>
      </c>
      <c r="K41" s="16">
        <v>758010</v>
      </c>
      <c r="L41" s="11" t="s">
        <v>149</v>
      </c>
      <c r="M41" s="117">
        <f t="shared" si="4"/>
        <v>25161.322445727943</v>
      </c>
      <c r="N41" s="11">
        <v>26722</v>
      </c>
      <c r="O41" s="19">
        <v>28756</v>
      </c>
      <c r="P41" s="5" t="s">
        <v>126</v>
      </c>
      <c r="Q41" s="9" t="s">
        <v>152</v>
      </c>
      <c r="R41" s="9" t="s">
        <v>152</v>
      </c>
      <c r="S41" s="9">
        <f t="shared" si="1"/>
        <v>34</v>
      </c>
      <c r="T41" s="24">
        <f t="shared" si="2"/>
        <v>785.94117647058829</v>
      </c>
    </row>
    <row r="42" spans="1:20" ht="25" x14ac:dyDescent="0.35">
      <c r="A42" s="4">
        <v>1</v>
      </c>
      <c r="B42" s="4">
        <v>60517</v>
      </c>
      <c r="C42" s="5" t="s">
        <v>16</v>
      </c>
      <c r="D42" s="4" t="s">
        <v>13</v>
      </c>
      <c r="E42" s="4">
        <v>1990</v>
      </c>
      <c r="F42" s="4" t="s">
        <v>163</v>
      </c>
      <c r="G42" s="5" t="s">
        <v>9</v>
      </c>
      <c r="H42" s="5" t="s">
        <v>33</v>
      </c>
      <c r="I42" s="5" t="s">
        <v>34</v>
      </c>
      <c r="J42" s="5" t="s">
        <v>121</v>
      </c>
      <c r="K42" s="16">
        <v>755010</v>
      </c>
      <c r="L42" s="11" t="s">
        <v>149</v>
      </c>
      <c r="M42" s="117">
        <f t="shared" si="4"/>
        <v>25061.740689105754</v>
      </c>
      <c r="N42" s="11">
        <v>19773</v>
      </c>
      <c r="O42" s="19">
        <v>32437</v>
      </c>
      <c r="P42" s="5" t="s">
        <v>127</v>
      </c>
      <c r="Q42" s="9" t="s">
        <v>152</v>
      </c>
      <c r="R42" s="9" t="s">
        <v>152</v>
      </c>
      <c r="S42" s="9">
        <f t="shared" si="1"/>
        <v>33</v>
      </c>
      <c r="T42" s="24">
        <f t="shared" si="2"/>
        <v>599.18181818181813</v>
      </c>
    </row>
    <row r="43" spans="1:20" x14ac:dyDescent="0.35">
      <c r="A43" s="4">
        <v>1</v>
      </c>
      <c r="B43" s="4">
        <v>60646</v>
      </c>
      <c r="C43" s="5" t="s">
        <v>16</v>
      </c>
      <c r="D43" s="4" t="s">
        <v>13</v>
      </c>
      <c r="E43" s="7">
        <v>1990</v>
      </c>
      <c r="F43" s="4" t="s">
        <v>163</v>
      </c>
      <c r="G43" s="5" t="s">
        <v>35</v>
      </c>
      <c r="H43" s="5" t="s">
        <v>36</v>
      </c>
      <c r="I43" s="5" t="s">
        <v>37</v>
      </c>
      <c r="J43" s="5" t="s">
        <v>122</v>
      </c>
      <c r="K43" s="16">
        <v>755010</v>
      </c>
      <c r="L43" s="11" t="s">
        <v>149</v>
      </c>
      <c r="M43" s="117">
        <f t="shared" si="4"/>
        <v>25061.740689105754</v>
      </c>
      <c r="N43" s="11">
        <v>15981</v>
      </c>
      <c r="O43" s="19">
        <v>51553</v>
      </c>
      <c r="P43" s="5" t="s">
        <v>126</v>
      </c>
      <c r="Q43" s="9" t="s">
        <v>152</v>
      </c>
      <c r="S43" s="9">
        <f t="shared" si="1"/>
        <v>33</v>
      </c>
      <c r="T43" s="24">
        <f t="shared" si="2"/>
        <v>484.27272727272725</v>
      </c>
    </row>
    <row r="44" spans="1:20" x14ac:dyDescent="0.35">
      <c r="A44" s="4">
        <v>1</v>
      </c>
      <c r="B44" s="4">
        <v>60687</v>
      </c>
      <c r="C44" s="5" t="s">
        <v>16</v>
      </c>
      <c r="D44" s="4" t="s">
        <v>13</v>
      </c>
      <c r="E44" s="7">
        <v>1990</v>
      </c>
      <c r="F44" s="4" t="s">
        <v>163</v>
      </c>
      <c r="G44" s="5" t="s">
        <v>35</v>
      </c>
      <c r="H44" s="5" t="s">
        <v>38</v>
      </c>
      <c r="I44" s="5" t="s">
        <v>39</v>
      </c>
      <c r="J44" s="5" t="s">
        <v>122</v>
      </c>
      <c r="K44" s="16">
        <v>755010</v>
      </c>
      <c r="L44" s="11" t="s">
        <v>149</v>
      </c>
      <c r="M44" s="117">
        <f t="shared" si="4"/>
        <v>25061.740689105754</v>
      </c>
      <c r="N44" s="11">
        <v>15559</v>
      </c>
      <c r="O44" s="19">
        <v>38677</v>
      </c>
      <c r="P44" s="5" t="s">
        <v>126</v>
      </c>
      <c r="Q44" s="9" t="s">
        <v>152</v>
      </c>
      <c r="R44" s="9" t="s">
        <v>152</v>
      </c>
      <c r="S44" s="9">
        <f t="shared" si="1"/>
        <v>33</v>
      </c>
      <c r="T44" s="24">
        <f t="shared" si="2"/>
        <v>471.4848484848485</v>
      </c>
    </row>
    <row r="45" spans="1:20" ht="25" x14ac:dyDescent="0.35">
      <c r="A45" s="4">
        <v>1</v>
      </c>
      <c r="B45" s="4">
        <v>60715</v>
      </c>
      <c r="C45" s="5" t="s">
        <v>16</v>
      </c>
      <c r="D45" s="4" t="s">
        <v>27</v>
      </c>
      <c r="E45" s="4">
        <v>1990</v>
      </c>
      <c r="F45" s="4" t="s">
        <v>163</v>
      </c>
      <c r="G45" s="5" t="s">
        <v>20</v>
      </c>
      <c r="H45" s="5" t="s">
        <v>21</v>
      </c>
      <c r="I45" s="5" t="s">
        <v>22</v>
      </c>
      <c r="J45" s="5" t="s">
        <v>121</v>
      </c>
      <c r="K45" s="16">
        <v>755010</v>
      </c>
      <c r="L45" s="11" t="s">
        <v>149</v>
      </c>
      <c r="M45" s="117">
        <f t="shared" si="4"/>
        <v>25061.740689105754</v>
      </c>
      <c r="N45" s="11">
        <v>10925</v>
      </c>
      <c r="O45" s="19">
        <v>32307</v>
      </c>
      <c r="P45" s="5" t="s">
        <v>126</v>
      </c>
      <c r="Q45" s="9" t="s">
        <v>152</v>
      </c>
      <c r="S45" s="9">
        <f t="shared" si="1"/>
        <v>33</v>
      </c>
      <c r="T45" s="24">
        <f t="shared" si="2"/>
        <v>331.06060606060606</v>
      </c>
    </row>
    <row r="46" spans="1:20" x14ac:dyDescent="0.35">
      <c r="A46" s="4">
        <v>1</v>
      </c>
      <c r="B46" s="4">
        <v>60903</v>
      </c>
      <c r="C46" s="5" t="s">
        <v>16</v>
      </c>
      <c r="D46" s="4" t="s">
        <v>27</v>
      </c>
      <c r="E46" s="4">
        <v>1990</v>
      </c>
      <c r="F46" s="4" t="s">
        <v>163</v>
      </c>
      <c r="G46" s="5" t="s">
        <v>28</v>
      </c>
      <c r="H46" s="5" t="s">
        <v>31</v>
      </c>
      <c r="I46" s="5" t="s">
        <v>32</v>
      </c>
      <c r="J46" s="5" t="s">
        <v>120</v>
      </c>
      <c r="K46" s="16">
        <v>755010</v>
      </c>
      <c r="L46" s="11" t="s">
        <v>149</v>
      </c>
      <c r="M46" s="117">
        <f t="shared" si="4"/>
        <v>25061.740689105754</v>
      </c>
      <c r="N46" s="11">
        <v>11962</v>
      </c>
      <c r="O46" s="19">
        <v>37757</v>
      </c>
      <c r="P46" s="5" t="s">
        <v>126</v>
      </c>
      <c r="Q46" s="9" t="s">
        <v>152</v>
      </c>
      <c r="S46" s="9">
        <f t="shared" si="1"/>
        <v>33</v>
      </c>
      <c r="T46" s="24">
        <f t="shared" si="2"/>
        <v>362.4848484848485</v>
      </c>
    </row>
    <row r="47" spans="1:20" x14ac:dyDescent="0.35">
      <c r="A47" s="4">
        <v>1</v>
      </c>
      <c r="B47" s="4">
        <v>61311</v>
      </c>
      <c r="C47" s="5" t="s">
        <v>16</v>
      </c>
      <c r="D47" s="4" t="s">
        <v>13</v>
      </c>
      <c r="E47" s="4">
        <v>1990</v>
      </c>
      <c r="F47" s="4" t="s">
        <v>163</v>
      </c>
      <c r="G47" s="5" t="s">
        <v>44</v>
      </c>
      <c r="H47" s="5" t="s">
        <v>45</v>
      </c>
      <c r="I47" s="5" t="s">
        <v>46</v>
      </c>
      <c r="J47" s="5" t="s">
        <v>120</v>
      </c>
      <c r="K47" s="16">
        <v>755010</v>
      </c>
      <c r="L47" s="11" t="s">
        <v>149</v>
      </c>
      <c r="M47" s="117">
        <f t="shared" si="4"/>
        <v>25061.740689105754</v>
      </c>
      <c r="N47" s="11">
        <v>15602</v>
      </c>
      <c r="O47" s="19">
        <v>32866</v>
      </c>
      <c r="P47" s="5" t="s">
        <v>126</v>
      </c>
      <c r="Q47" s="9" t="s">
        <v>152</v>
      </c>
      <c r="R47" s="9" t="s">
        <v>152</v>
      </c>
      <c r="S47" s="9">
        <f t="shared" si="1"/>
        <v>33</v>
      </c>
      <c r="T47" s="24">
        <f t="shared" si="2"/>
        <v>472.78787878787881</v>
      </c>
    </row>
    <row r="48" spans="1:20" x14ac:dyDescent="0.35">
      <c r="A48" s="4">
        <v>1</v>
      </c>
      <c r="B48" s="4">
        <v>60004</v>
      </c>
      <c r="C48" s="5" t="s">
        <v>16</v>
      </c>
      <c r="D48" s="4" t="s">
        <v>48</v>
      </c>
      <c r="E48" s="4">
        <v>1992</v>
      </c>
      <c r="F48" s="4" t="s">
        <v>163</v>
      </c>
      <c r="G48" s="5" t="s">
        <v>20</v>
      </c>
      <c r="H48" s="5" t="s">
        <v>49</v>
      </c>
      <c r="I48" s="5" t="s">
        <v>50</v>
      </c>
      <c r="J48" s="5" t="s">
        <v>123</v>
      </c>
      <c r="K48" s="16">
        <v>642800</v>
      </c>
      <c r="L48" s="11" t="s">
        <v>149</v>
      </c>
      <c r="M48" s="117">
        <f t="shared" si="4"/>
        <v>21337.051052247229</v>
      </c>
      <c r="N48" s="11">
        <v>19380</v>
      </c>
      <c r="O48" s="19">
        <v>58503</v>
      </c>
      <c r="P48" s="5" t="s">
        <v>126</v>
      </c>
      <c r="Q48" s="9" t="s">
        <v>152</v>
      </c>
      <c r="R48" s="9" t="s">
        <v>152</v>
      </c>
      <c r="S48" s="9">
        <f t="shared" si="1"/>
        <v>31</v>
      </c>
      <c r="T48" s="24">
        <f t="shared" si="2"/>
        <v>625.16129032258061</v>
      </c>
    </row>
  </sheetData>
  <autoFilter ref="A1:Q48">
    <sortState ref="A2:Q48">
      <sortCondition descending="1" ref="M1:M48"/>
    </sortState>
  </autoFilter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tabSelected="1" topLeftCell="A10" zoomScale="80" zoomScaleNormal="80" workbookViewId="0">
      <selection activeCell="A23" sqref="A23"/>
    </sheetView>
  </sheetViews>
  <sheetFormatPr defaultRowHeight="14.5" x14ac:dyDescent="0.35"/>
  <cols>
    <col min="1" max="1" width="45.6328125" bestFit="1" customWidth="1"/>
    <col min="2" max="2" width="18.08984375" bestFit="1" customWidth="1"/>
    <col min="3" max="4" width="14.54296875" bestFit="1" customWidth="1"/>
    <col min="5" max="5" width="15.54296875" bestFit="1" customWidth="1"/>
    <col min="6" max="7" width="14.54296875" bestFit="1" customWidth="1"/>
    <col min="8" max="18" width="15.453125" bestFit="1" customWidth="1"/>
  </cols>
  <sheetData>
    <row r="1" spans="1:18" s="100" customFormat="1" x14ac:dyDescent="0.35">
      <c r="A1" s="100" t="s">
        <v>240</v>
      </c>
      <c r="B1" s="100" t="s">
        <v>241</v>
      </c>
    </row>
    <row r="2" spans="1:18" x14ac:dyDescent="0.35">
      <c r="A2" t="s">
        <v>242</v>
      </c>
      <c r="B2" t="s">
        <v>243</v>
      </c>
    </row>
    <row r="3" spans="1:18" x14ac:dyDescent="0.35">
      <c r="A3" t="s">
        <v>244</v>
      </c>
      <c r="B3">
        <v>16</v>
      </c>
    </row>
    <row r="4" spans="1:18" x14ac:dyDescent="0.35">
      <c r="A4" t="s">
        <v>245</v>
      </c>
      <c r="B4">
        <v>2025</v>
      </c>
    </row>
    <row r="5" spans="1:18" x14ac:dyDescent="0.35">
      <c r="A5" t="s">
        <v>246</v>
      </c>
      <c r="B5" s="22">
        <v>0.04</v>
      </c>
    </row>
    <row r="7" spans="1:18" s="94" customFormat="1" x14ac:dyDescent="0.35">
      <c r="A7" s="100" t="s">
        <v>247</v>
      </c>
      <c r="B7" s="100" t="s">
        <v>238</v>
      </c>
      <c r="C7" s="100">
        <v>2024</v>
      </c>
      <c r="D7" s="100">
        <v>2025</v>
      </c>
      <c r="E7" s="100">
        <v>2026</v>
      </c>
      <c r="F7" s="100">
        <v>2027</v>
      </c>
      <c r="G7" s="100">
        <v>2028</v>
      </c>
      <c r="H7" s="100">
        <v>2029</v>
      </c>
      <c r="I7" s="100">
        <v>2030</v>
      </c>
      <c r="J7" s="100">
        <v>2031</v>
      </c>
      <c r="K7" s="100">
        <v>2032</v>
      </c>
      <c r="L7" s="100">
        <v>2033</v>
      </c>
      <c r="M7" s="100">
        <v>2034</v>
      </c>
      <c r="N7" s="100">
        <v>2035</v>
      </c>
      <c r="O7" s="100">
        <v>2036</v>
      </c>
      <c r="P7" s="100">
        <v>2037</v>
      </c>
      <c r="Q7" s="100">
        <v>2038</v>
      </c>
      <c r="R7" s="100">
        <v>2039</v>
      </c>
    </row>
    <row r="8" spans="1:18" x14ac:dyDescent="0.35">
      <c r="A8" t="s">
        <v>248</v>
      </c>
      <c r="B8" s="21">
        <f>SUM(C8:R8)</f>
        <v>39849999.997500002</v>
      </c>
      <c r="C8" s="21"/>
      <c r="D8" s="21"/>
      <c r="E8" s="21">
        <v>39849999.997500002</v>
      </c>
    </row>
    <row r="9" spans="1:18" x14ac:dyDescent="0.35">
      <c r="A9" t="s">
        <v>249</v>
      </c>
      <c r="B9" s="21">
        <f>SUM(C9:R9)</f>
        <v>39849999.997500002</v>
      </c>
      <c r="C9" s="21"/>
      <c r="D9" s="21"/>
      <c r="E9" s="21">
        <v>39849999.997500002</v>
      </c>
    </row>
    <row r="10" spans="1:18" x14ac:dyDescent="0.35">
      <c r="B10" s="21">
        <f>B9/55</f>
        <v>724545.45449999999</v>
      </c>
    </row>
    <row r="12" spans="1:18" s="94" customFormat="1" x14ac:dyDescent="0.35">
      <c r="A12" s="100" t="s">
        <v>250</v>
      </c>
      <c r="B12" s="98"/>
      <c r="C12" s="100">
        <v>2024</v>
      </c>
      <c r="D12" s="100">
        <v>2025</v>
      </c>
      <c r="E12" s="100">
        <v>2026</v>
      </c>
      <c r="F12" s="100">
        <v>2027</v>
      </c>
      <c r="G12" s="100">
        <v>2028</v>
      </c>
      <c r="H12" s="100">
        <v>2029</v>
      </c>
      <c r="I12" s="100">
        <v>2030</v>
      </c>
      <c r="J12" s="100">
        <v>2031</v>
      </c>
      <c r="K12" s="100">
        <v>2032</v>
      </c>
      <c r="L12" s="100">
        <v>2033</v>
      </c>
      <c r="M12" s="100">
        <v>2034</v>
      </c>
      <c r="N12" s="100">
        <v>2035</v>
      </c>
      <c r="O12" s="100">
        <v>2036</v>
      </c>
      <c r="P12" s="100">
        <v>2037</v>
      </c>
      <c r="Q12" s="100">
        <v>2038</v>
      </c>
      <c r="R12" s="100">
        <v>2039</v>
      </c>
    </row>
    <row r="13" spans="1:18" x14ac:dyDescent="0.35">
      <c r="A13" t="s">
        <v>251</v>
      </c>
      <c r="R13" s="21">
        <f>'servis podľa veku'!B105</f>
        <v>13947499.999125</v>
      </c>
    </row>
    <row r="16" spans="1:18" s="100" customFormat="1" x14ac:dyDescent="0.35">
      <c r="A16" s="100" t="s">
        <v>258</v>
      </c>
      <c r="B16" s="100" t="s">
        <v>238</v>
      </c>
      <c r="C16" s="100">
        <v>2024</v>
      </c>
      <c r="D16" s="100">
        <v>2025</v>
      </c>
      <c r="E16" s="100">
        <v>2026</v>
      </c>
      <c r="F16" s="100">
        <v>2027</v>
      </c>
      <c r="G16" s="100">
        <v>2028</v>
      </c>
      <c r="H16" s="100">
        <v>2029</v>
      </c>
      <c r="I16" s="100">
        <v>2030</v>
      </c>
      <c r="J16" s="100">
        <v>2031</v>
      </c>
      <c r="K16" s="100">
        <v>2032</v>
      </c>
      <c r="L16" s="100">
        <v>2033</v>
      </c>
      <c r="M16" s="100">
        <v>2034</v>
      </c>
      <c r="N16" s="100">
        <v>2035</v>
      </c>
      <c r="O16" s="100">
        <v>2036</v>
      </c>
      <c r="P16" s="100">
        <v>2037</v>
      </c>
      <c r="Q16" s="100">
        <v>2038</v>
      </c>
      <c r="R16" s="100">
        <v>2039</v>
      </c>
    </row>
    <row r="17" spans="1:18" s="106" customFormat="1" x14ac:dyDescent="0.35">
      <c r="A17" s="106" t="s">
        <v>259</v>
      </c>
    </row>
    <row r="18" spans="1:18" x14ac:dyDescent="0.35">
      <c r="A18" t="s">
        <v>260</v>
      </c>
      <c r="B18" s="21">
        <f>SUM(C18:R18)</f>
        <v>17676452.266985238</v>
      </c>
      <c r="C18" s="21">
        <f>AVERAGE('servis podľa rokov'!$Q$58:$S$58)</f>
        <v>1104778.2666865773</v>
      </c>
      <c r="D18" s="21">
        <f>AVERAGE('servis podľa rokov'!$Q$58:$S$58)</f>
        <v>1104778.2666865773</v>
      </c>
      <c r="E18" s="21">
        <f>AVERAGE('servis podľa rokov'!$Q$58:$S$58)</f>
        <v>1104778.2666865773</v>
      </c>
      <c r="F18" s="21">
        <f>AVERAGE('servis podľa rokov'!$Q$58:$S$58)</f>
        <v>1104778.2666865773</v>
      </c>
      <c r="G18" s="21">
        <f>AVERAGE('servis podľa rokov'!$Q$58:$S$58)</f>
        <v>1104778.2666865773</v>
      </c>
      <c r="H18" s="21">
        <f>AVERAGE('servis podľa rokov'!$Q$58:$S$58)</f>
        <v>1104778.2666865773</v>
      </c>
      <c r="I18" s="21">
        <f>AVERAGE('servis podľa rokov'!$Q$58:$S$58)</f>
        <v>1104778.2666865773</v>
      </c>
      <c r="J18" s="21">
        <f>AVERAGE('servis podľa rokov'!$Q$58:$S$58)</f>
        <v>1104778.2666865773</v>
      </c>
      <c r="K18" s="21">
        <f>AVERAGE('servis podľa rokov'!$Q$58:$S$58)</f>
        <v>1104778.2666865773</v>
      </c>
      <c r="L18" s="21">
        <f>AVERAGE('servis podľa rokov'!$Q$58:$S$58)</f>
        <v>1104778.2666865773</v>
      </c>
      <c r="M18" s="21">
        <f>AVERAGE('servis podľa rokov'!$Q$58:$S$58)</f>
        <v>1104778.2666865773</v>
      </c>
      <c r="N18" s="21">
        <f>AVERAGE('servis podľa rokov'!$Q$58:$S$58)</f>
        <v>1104778.2666865773</v>
      </c>
      <c r="O18" s="21">
        <f>AVERAGE('servis podľa rokov'!$Q$58:$S$58)</f>
        <v>1104778.2666865773</v>
      </c>
      <c r="P18" s="21">
        <f>AVERAGE('servis podľa rokov'!$Q$58:$S$58)</f>
        <v>1104778.2666865773</v>
      </c>
      <c r="Q18" s="21">
        <f>AVERAGE('servis podľa rokov'!$Q$58:$S$58)</f>
        <v>1104778.2666865773</v>
      </c>
      <c r="R18" s="21">
        <f>AVERAGE('servis podľa rokov'!$Q$58:$S$58)</f>
        <v>1104778.2666865773</v>
      </c>
    </row>
    <row r="20" spans="1:18" s="106" customFormat="1" x14ac:dyDescent="0.35">
      <c r="A20" s="106" t="s">
        <v>261</v>
      </c>
    </row>
    <row r="21" spans="1:18" x14ac:dyDescent="0.35">
      <c r="A21" t="s">
        <v>260</v>
      </c>
      <c r="B21" s="25">
        <f>SUM(C21:R21)</f>
        <v>3314334.800059732</v>
      </c>
      <c r="C21" s="25">
        <f>AVERAGE('servis podľa rokov'!$Q$58:$S$58)</f>
        <v>1104778.2666865773</v>
      </c>
      <c r="D21" s="25">
        <f>AVERAGE('servis podľa rokov'!$Q$58:$S$58)</f>
        <v>1104778.2666865773</v>
      </c>
      <c r="E21" s="25">
        <f>AVERAGE('servis podľa rokov'!$Q$58:$S$58)</f>
        <v>1104778.2666865773</v>
      </c>
      <c r="F21" s="113"/>
      <c r="G21" s="113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x14ac:dyDescent="0.35">
      <c r="A22" t="s">
        <v>262</v>
      </c>
      <c r="B22" s="25">
        <f>SUM(C22:R22)</f>
        <v>6018304.8091988331</v>
      </c>
      <c r="C22" s="25"/>
      <c r="D22" s="25"/>
      <c r="E22" s="25"/>
      <c r="F22" s="25">
        <f>AVERAGE('servis podľa veku'!B86:D86)/47*55</f>
        <v>99971.512432124466</v>
      </c>
      <c r="G22" s="25">
        <f>AVERAGE('servis podľa veku'!C86:E86)/47*55</f>
        <v>108687.93664607263</v>
      </c>
      <c r="H22" s="25">
        <f>AVERAGE('servis podľa veku'!D86:F86)/47*55</f>
        <v>189839.93778708717</v>
      </c>
      <c r="I22" s="25">
        <f>AVERAGE('servis podľa veku'!E86:G86)/47*55</f>
        <v>215958.96397455651</v>
      </c>
      <c r="J22" s="25">
        <f>AVERAGE('servis podľa veku'!F86:H86)/47*55</f>
        <v>301937.43036552548</v>
      </c>
      <c r="K22" s="25">
        <f>AVERAGE('servis podľa veku'!G86:I86)/47*55</f>
        <v>367643.30818998994</v>
      </c>
      <c r="L22" s="25">
        <f>AVERAGE('servis podľa veku'!H86:J86)/47*55</f>
        <v>364564.60914422438</v>
      </c>
      <c r="M22" s="25">
        <f>AVERAGE('servis podľa veku'!I86:K86)/47*55</f>
        <v>372036.74948930182</v>
      </c>
      <c r="N22" s="25">
        <f>AVERAGE('servis podľa veku'!J86:L86)/47*55</f>
        <v>604576.78268568486</v>
      </c>
      <c r="O22" s="25">
        <f>AVERAGE('servis podľa veku'!K86:M86)/47*55</f>
        <v>741969.11902001244</v>
      </c>
      <c r="P22" s="25">
        <f>AVERAGE('servis podľa veku'!L86:N86)/47*55</f>
        <v>916617.31838315073</v>
      </c>
      <c r="Q22" s="25">
        <f>AVERAGE('servis podľa veku'!M86:O86)/47*55</f>
        <v>830705.24772642052</v>
      </c>
      <c r="R22" s="25">
        <f>AVERAGE('servis podľa veku'!N86:P86)/47*55</f>
        <v>903795.89335468097</v>
      </c>
    </row>
    <row r="23" spans="1:18" x14ac:dyDescent="0.35">
      <c r="A23" t="s">
        <v>263</v>
      </c>
      <c r="B23" s="25">
        <f t="shared" ref="B23:R23" si="0">SUM(B21:B22)</f>
        <v>9332639.6092585661</v>
      </c>
      <c r="C23" s="25">
        <f t="shared" si="0"/>
        <v>1104778.2666865773</v>
      </c>
      <c r="D23" s="25">
        <f t="shared" si="0"/>
        <v>1104778.2666865773</v>
      </c>
      <c r="E23" s="25">
        <f t="shared" si="0"/>
        <v>1104778.2666865773</v>
      </c>
      <c r="F23" s="25">
        <f t="shared" si="0"/>
        <v>99971.512432124466</v>
      </c>
      <c r="G23" s="25">
        <f t="shared" si="0"/>
        <v>108687.93664607263</v>
      </c>
      <c r="H23" s="21">
        <f t="shared" si="0"/>
        <v>189839.93778708717</v>
      </c>
      <c r="I23" s="21">
        <f t="shared" si="0"/>
        <v>215958.96397455651</v>
      </c>
      <c r="J23" s="21">
        <f t="shared" si="0"/>
        <v>301937.43036552548</v>
      </c>
      <c r="K23" s="21">
        <f t="shared" si="0"/>
        <v>367643.30818998994</v>
      </c>
      <c r="L23" s="21">
        <f t="shared" si="0"/>
        <v>364564.60914422438</v>
      </c>
      <c r="M23" s="21">
        <f t="shared" si="0"/>
        <v>372036.74948930182</v>
      </c>
      <c r="N23" s="21">
        <f t="shared" si="0"/>
        <v>604576.78268568486</v>
      </c>
      <c r="O23" s="21">
        <f t="shared" si="0"/>
        <v>741969.11902001244</v>
      </c>
      <c r="P23" s="21">
        <f t="shared" si="0"/>
        <v>916617.31838315073</v>
      </c>
      <c r="Q23" s="21">
        <f t="shared" si="0"/>
        <v>830705.24772642052</v>
      </c>
      <c r="R23" s="21">
        <f t="shared" si="0"/>
        <v>903795.89335468097</v>
      </c>
    </row>
    <row r="25" spans="1:18" s="106" customFormat="1" x14ac:dyDescent="0.35">
      <c r="A25" s="106" t="s">
        <v>264</v>
      </c>
    </row>
    <row r="26" spans="1:18" x14ac:dyDescent="0.35">
      <c r="A26" t="s">
        <v>265</v>
      </c>
      <c r="B26" s="21">
        <f>SUM(C26:R26)</f>
        <v>-8343812.6577266725</v>
      </c>
      <c r="C26" s="21">
        <f t="shared" ref="C26:R26" si="1">C23-C18</f>
        <v>0</v>
      </c>
      <c r="D26" s="21">
        <f t="shared" si="1"/>
        <v>0</v>
      </c>
      <c r="E26" s="21">
        <f t="shared" si="1"/>
        <v>0</v>
      </c>
      <c r="F26" s="21">
        <f t="shared" si="1"/>
        <v>-1004806.7542544529</v>
      </c>
      <c r="G26" s="21">
        <f t="shared" si="1"/>
        <v>-996090.33004050469</v>
      </c>
      <c r="H26" s="21">
        <f t="shared" si="1"/>
        <v>-914938.32889949018</v>
      </c>
      <c r="I26" s="21">
        <f t="shared" si="1"/>
        <v>-888819.30271202081</v>
      </c>
      <c r="J26" s="21">
        <f t="shared" si="1"/>
        <v>-802840.83632105193</v>
      </c>
      <c r="K26" s="21">
        <f t="shared" si="1"/>
        <v>-737134.95849658735</v>
      </c>
      <c r="L26" s="21">
        <f t="shared" si="1"/>
        <v>-740213.65754235303</v>
      </c>
      <c r="M26" s="21">
        <f t="shared" si="1"/>
        <v>-732741.51719727553</v>
      </c>
      <c r="N26" s="21">
        <f t="shared" si="1"/>
        <v>-500201.48400089249</v>
      </c>
      <c r="O26" s="21">
        <f t="shared" si="1"/>
        <v>-362809.14766656491</v>
      </c>
      <c r="P26" s="21">
        <f t="shared" si="1"/>
        <v>-188160.94830342662</v>
      </c>
      <c r="Q26" s="21">
        <f t="shared" si="1"/>
        <v>-274073.01896015683</v>
      </c>
      <c r="R26" s="21">
        <f t="shared" si="1"/>
        <v>-200982.37333189638</v>
      </c>
    </row>
    <row r="28" spans="1:18" s="100" customFormat="1" x14ac:dyDescent="0.35">
      <c r="A28" s="100" t="s">
        <v>266</v>
      </c>
      <c r="C28" s="100">
        <v>2024</v>
      </c>
      <c r="D28" s="100">
        <v>2025</v>
      </c>
      <c r="E28" s="100">
        <v>2026</v>
      </c>
      <c r="F28" s="100">
        <v>2027</v>
      </c>
      <c r="G28" s="100">
        <v>2028</v>
      </c>
      <c r="H28" s="100">
        <v>2029</v>
      </c>
      <c r="I28" s="100">
        <v>2030</v>
      </c>
      <c r="J28" s="100">
        <v>2031</v>
      </c>
      <c r="K28" s="100">
        <v>2032</v>
      </c>
      <c r="L28" s="100">
        <v>2033</v>
      </c>
      <c r="M28" s="100">
        <v>2034</v>
      </c>
      <c r="N28" s="100">
        <v>2035</v>
      </c>
      <c r="O28" s="100">
        <v>2036</v>
      </c>
      <c r="P28" s="100">
        <v>2037</v>
      </c>
      <c r="Q28" s="100">
        <v>2038</v>
      </c>
      <c r="R28" s="100">
        <v>2039</v>
      </c>
    </row>
    <row r="29" spans="1:18" x14ac:dyDescent="0.35">
      <c r="A29" t="s">
        <v>267</v>
      </c>
    </row>
    <row r="32" spans="1:18" s="100" customFormat="1" x14ac:dyDescent="0.35">
      <c r="A32" s="100" t="s">
        <v>268</v>
      </c>
      <c r="B32" s="100" t="s">
        <v>269</v>
      </c>
      <c r="C32" s="100">
        <v>2024</v>
      </c>
      <c r="D32" s="100">
        <v>2025</v>
      </c>
      <c r="E32" s="100">
        <v>2026</v>
      </c>
      <c r="F32" s="100">
        <v>2027</v>
      </c>
      <c r="G32" s="100">
        <v>2028</v>
      </c>
      <c r="H32" s="100">
        <v>2029</v>
      </c>
      <c r="I32" s="100">
        <v>2030</v>
      </c>
      <c r="J32" s="100">
        <v>2031</v>
      </c>
      <c r="K32" s="100">
        <v>2032</v>
      </c>
      <c r="L32" s="100">
        <v>2033</v>
      </c>
      <c r="M32" s="100">
        <v>2034</v>
      </c>
      <c r="N32" s="100">
        <v>2035</v>
      </c>
      <c r="O32" s="100">
        <v>2036</v>
      </c>
      <c r="P32" s="100">
        <v>2037</v>
      </c>
      <c r="Q32" s="100">
        <v>2038</v>
      </c>
      <c r="R32" s="100">
        <v>2039</v>
      </c>
    </row>
    <row r="33" spans="1:19" x14ac:dyDescent="0.35">
      <c r="A33" t="s">
        <v>270</v>
      </c>
      <c r="B33" s="25">
        <f t="shared" ref="B33:B38" si="2">C33+NPV($B$5,D33:R33)</f>
        <v>36843565.08644601</v>
      </c>
      <c r="C33" s="25">
        <f t="shared" ref="C33:R33" si="3">C8</f>
        <v>0</v>
      </c>
      <c r="D33" s="25">
        <f t="shared" si="3"/>
        <v>0</v>
      </c>
      <c r="E33" s="25">
        <f t="shared" si="3"/>
        <v>39849999.997500002</v>
      </c>
      <c r="F33" s="25">
        <f t="shared" si="3"/>
        <v>0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5">
        <f t="shared" si="3"/>
        <v>0</v>
      </c>
      <c r="L33" s="25">
        <f t="shared" si="3"/>
        <v>0</v>
      </c>
      <c r="M33" s="25">
        <f t="shared" si="3"/>
        <v>0</v>
      </c>
      <c r="N33" s="25">
        <f t="shared" si="3"/>
        <v>0</v>
      </c>
      <c r="O33" s="25">
        <f t="shared" si="3"/>
        <v>0</v>
      </c>
      <c r="P33" s="25">
        <f t="shared" si="3"/>
        <v>0</v>
      </c>
      <c r="Q33" s="25">
        <f t="shared" si="3"/>
        <v>0</v>
      </c>
      <c r="R33" s="25">
        <f t="shared" si="3"/>
        <v>0</v>
      </c>
    </row>
    <row r="34" spans="1:19" x14ac:dyDescent="0.35">
      <c r="A34" t="s">
        <v>271</v>
      </c>
      <c r="B34" s="25">
        <f t="shared" si="2"/>
        <v>-6297383.8872375851</v>
      </c>
      <c r="C34" s="21">
        <f>C26</f>
        <v>0</v>
      </c>
      <c r="D34" s="21">
        <f t="shared" ref="D34:Q34" si="4">D26</f>
        <v>0</v>
      </c>
      <c r="E34" s="21">
        <f t="shared" si="4"/>
        <v>0</v>
      </c>
      <c r="F34" s="21">
        <f t="shared" si="4"/>
        <v>-1004806.7542544529</v>
      </c>
      <c r="G34" s="21">
        <f t="shared" si="4"/>
        <v>-996090.33004050469</v>
      </c>
      <c r="H34" s="21">
        <f t="shared" si="4"/>
        <v>-914938.32889949018</v>
      </c>
      <c r="I34" s="21">
        <f t="shared" si="4"/>
        <v>-888819.30271202081</v>
      </c>
      <c r="J34" s="21">
        <f t="shared" si="4"/>
        <v>-802840.83632105193</v>
      </c>
      <c r="K34" s="21">
        <f t="shared" si="4"/>
        <v>-737134.95849658735</v>
      </c>
      <c r="L34" s="21">
        <f t="shared" si="4"/>
        <v>-740213.65754235303</v>
      </c>
      <c r="M34" s="21">
        <f t="shared" si="4"/>
        <v>-732741.51719727553</v>
      </c>
      <c r="N34" s="21">
        <f t="shared" si="4"/>
        <v>-500201.48400089249</v>
      </c>
      <c r="O34" s="21">
        <f t="shared" si="4"/>
        <v>-362809.14766656491</v>
      </c>
      <c r="P34" s="21">
        <f t="shared" si="4"/>
        <v>-188160.94830342662</v>
      </c>
      <c r="Q34" s="21">
        <f t="shared" si="4"/>
        <v>-274073.01896015683</v>
      </c>
      <c r="R34" s="21">
        <f>R26</f>
        <v>-200982.37333189638</v>
      </c>
      <c r="S34" s="21"/>
    </row>
    <row r="35" spans="1:19" x14ac:dyDescent="0.35">
      <c r="A35" t="s">
        <v>272</v>
      </c>
      <c r="B35" s="25">
        <f t="shared" si="2"/>
        <v>0</v>
      </c>
      <c r="C35" s="25">
        <v>0</v>
      </c>
      <c r="D35" s="25">
        <v>0</v>
      </c>
    </row>
    <row r="36" spans="1:19" x14ac:dyDescent="0.35">
      <c r="A36" t="s">
        <v>252</v>
      </c>
      <c r="B36" s="25">
        <f t="shared" si="2"/>
        <v>7744551.6511075441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1">
        <f>R13</f>
        <v>13947499.999125</v>
      </c>
    </row>
    <row r="37" spans="1:19" x14ac:dyDescent="0.35">
      <c r="A37" t="s">
        <v>273</v>
      </c>
      <c r="B37" s="25">
        <f t="shared" si="2"/>
        <v>-22801629.548100874</v>
      </c>
      <c r="C37" s="25">
        <v>0</v>
      </c>
      <c r="D37" s="21">
        <f>-D33-D34+D35+D36</f>
        <v>0</v>
      </c>
      <c r="E37" s="21">
        <f>-E33-E34+E35+E36</f>
        <v>-39849999.997500002</v>
      </c>
      <c r="F37" s="21">
        <f t="shared" ref="F37:R37" si="5">-F33-F34+F35+F36</f>
        <v>1004806.7542544529</v>
      </c>
      <c r="G37" s="21">
        <f>-G33-G34+G35+G36</f>
        <v>996090.33004050469</v>
      </c>
      <c r="H37" s="21">
        <f t="shared" si="5"/>
        <v>914938.32889949018</v>
      </c>
      <c r="I37" s="21">
        <f t="shared" si="5"/>
        <v>888819.30271202081</v>
      </c>
      <c r="J37" s="21">
        <f t="shared" si="5"/>
        <v>802840.83632105193</v>
      </c>
      <c r="K37" s="21">
        <f t="shared" si="5"/>
        <v>737134.95849658735</v>
      </c>
      <c r="L37" s="21">
        <f t="shared" si="5"/>
        <v>740213.65754235303</v>
      </c>
      <c r="M37" s="21">
        <f t="shared" si="5"/>
        <v>732741.51719727553</v>
      </c>
      <c r="N37" s="21">
        <f>-N33-N34+N35+N36</f>
        <v>500201.48400089249</v>
      </c>
      <c r="O37" s="21">
        <f t="shared" si="5"/>
        <v>362809.14766656491</v>
      </c>
      <c r="P37" s="21">
        <f t="shared" si="5"/>
        <v>188160.94830342662</v>
      </c>
      <c r="Q37" s="21">
        <f t="shared" si="5"/>
        <v>274073.01896015683</v>
      </c>
      <c r="R37" s="21">
        <f t="shared" si="5"/>
        <v>14148482.372456897</v>
      </c>
    </row>
    <row r="38" spans="1:19" x14ac:dyDescent="0.35">
      <c r="B38" s="124">
        <f t="shared" si="2"/>
        <v>11057692.307692308</v>
      </c>
      <c r="F38">
        <v>11500000</v>
      </c>
    </row>
    <row r="39" spans="1:19" x14ac:dyDescent="0.35">
      <c r="A39" t="s">
        <v>274</v>
      </c>
      <c r="B39" s="133">
        <f>-B33-B34+B36</f>
        <v>-22801629.548100881</v>
      </c>
      <c r="C39" s="21"/>
    </row>
    <row r="40" spans="1:19" x14ac:dyDescent="0.35">
      <c r="A40" t="s">
        <v>275</v>
      </c>
      <c r="B40" s="114">
        <f>IRR(C37:R37,1)</f>
        <v>-5.3375839624439814E-2</v>
      </c>
      <c r="C40" s="114"/>
    </row>
    <row r="44" spans="1:19" x14ac:dyDescent="0.35">
      <c r="B44" s="25"/>
    </row>
    <row r="45" spans="1:19" x14ac:dyDescent="0.35">
      <c r="B45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5"/>
  <sheetViews>
    <sheetView showGridLines="0" zoomScale="55" zoomScaleNormal="55" workbookViewId="0">
      <selection activeCell="Q87" sqref="Q87"/>
    </sheetView>
  </sheetViews>
  <sheetFormatPr defaultRowHeight="14.5" x14ac:dyDescent="0.35"/>
  <cols>
    <col min="1" max="1" width="21.54296875" customWidth="1"/>
    <col min="2" max="2" width="15.81640625" bestFit="1" customWidth="1"/>
    <col min="3" max="3" width="14" customWidth="1"/>
    <col min="4" max="4" width="12.81640625" bestFit="1" customWidth="1"/>
    <col min="5" max="5" width="11.81640625" bestFit="1" customWidth="1"/>
    <col min="6" max="9" width="12.81640625" bestFit="1" customWidth="1"/>
    <col min="10" max="10" width="14" bestFit="1" customWidth="1"/>
    <col min="11" max="12" width="12.54296875" bestFit="1" customWidth="1"/>
    <col min="13" max="13" width="14.08984375" bestFit="1" customWidth="1"/>
    <col min="14" max="16" width="12.54296875" bestFit="1" customWidth="1"/>
    <col min="17" max="17" width="12.453125" bestFit="1" customWidth="1"/>
    <col min="18" max="18" width="12.54296875" bestFit="1" customWidth="1"/>
  </cols>
  <sheetData>
    <row r="3" spans="1:14" s="107" customFormat="1" x14ac:dyDescent="0.35">
      <c r="A3" s="107" t="s">
        <v>213</v>
      </c>
      <c r="B3" s="107">
        <v>2007</v>
      </c>
    </row>
    <row r="4" spans="1:14" s="107" customFormat="1" x14ac:dyDescent="0.35">
      <c r="B4" s="107" t="s">
        <v>221</v>
      </c>
      <c r="C4" s="107" t="s">
        <v>222</v>
      </c>
      <c r="D4" s="107" t="s">
        <v>223</v>
      </c>
      <c r="E4" s="107" t="s">
        <v>224</v>
      </c>
      <c r="F4" s="107" t="s">
        <v>225</v>
      </c>
      <c r="G4" s="107" t="s">
        <v>226</v>
      </c>
      <c r="H4" s="107" t="s">
        <v>227</v>
      </c>
      <c r="I4" s="107" t="s">
        <v>228</v>
      </c>
      <c r="J4" s="107" t="s">
        <v>229</v>
      </c>
      <c r="K4" s="107" t="s">
        <v>230</v>
      </c>
      <c r="L4" s="107" t="s">
        <v>231</v>
      </c>
      <c r="M4" s="107" t="s">
        <v>232</v>
      </c>
      <c r="N4" s="107" t="s">
        <v>233</v>
      </c>
    </row>
    <row r="5" spans="1:14" x14ac:dyDescent="0.35">
      <c r="A5" t="s">
        <v>154</v>
      </c>
      <c r="B5">
        <v>2011</v>
      </c>
      <c r="C5">
        <v>2012</v>
      </c>
      <c r="D5">
        <v>2013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  <c r="L5">
        <v>2021</v>
      </c>
      <c r="M5">
        <v>2022</v>
      </c>
      <c r="N5">
        <v>2023</v>
      </c>
    </row>
    <row r="6" spans="1:14" x14ac:dyDescent="0.35">
      <c r="A6">
        <v>42482</v>
      </c>
      <c r="B6" s="25"/>
      <c r="C6" s="25"/>
      <c r="D6" s="25">
        <v>483.3</v>
      </c>
      <c r="E6" s="25">
        <v>4465.5199999999995</v>
      </c>
      <c r="F6" s="25">
        <v>2619.12</v>
      </c>
      <c r="G6" s="25">
        <v>4009.9399999999996</v>
      </c>
      <c r="H6" s="25">
        <v>1269.93</v>
      </c>
      <c r="I6" s="25">
        <v>747.31</v>
      </c>
      <c r="J6" s="25">
        <v>1389.9099999999999</v>
      </c>
      <c r="K6" s="25">
        <v>63247.079999999994</v>
      </c>
      <c r="L6" s="25">
        <v>3253.7699999999995</v>
      </c>
      <c r="M6" s="25">
        <v>6503.7000000000007</v>
      </c>
      <c r="N6" s="25">
        <v>3365.13</v>
      </c>
    </row>
    <row r="7" spans="1:14" x14ac:dyDescent="0.35">
      <c r="A7">
        <v>42509</v>
      </c>
      <c r="B7" s="25"/>
      <c r="C7" s="25"/>
      <c r="D7" s="25">
        <v>3035.86</v>
      </c>
      <c r="E7" s="25">
        <v>624.42000000000007</v>
      </c>
      <c r="F7" s="25">
        <v>1628.77</v>
      </c>
      <c r="G7" s="25">
        <v>4299.7800000000007</v>
      </c>
      <c r="H7" s="25">
        <v>4276.41</v>
      </c>
      <c r="I7" s="25">
        <v>855.43999999999994</v>
      </c>
      <c r="J7" s="25">
        <v>62025.2</v>
      </c>
      <c r="K7" s="25">
        <v>2128.98</v>
      </c>
      <c r="L7" s="25">
        <v>7486.48</v>
      </c>
      <c r="M7" s="25">
        <v>532.64</v>
      </c>
      <c r="N7" s="25">
        <v>9217.2700000000023</v>
      </c>
    </row>
    <row r="8" spans="1:14" x14ac:dyDescent="0.35">
      <c r="A8">
        <v>42511</v>
      </c>
      <c r="B8" s="25">
        <v>422.96</v>
      </c>
      <c r="C8" s="25">
        <v>214.78</v>
      </c>
      <c r="D8" s="25">
        <v>1345.61</v>
      </c>
      <c r="E8" s="25">
        <v>1361.8400000000001</v>
      </c>
      <c r="F8" s="25">
        <v>14807.38</v>
      </c>
      <c r="G8" s="25">
        <v>5008.71</v>
      </c>
      <c r="H8" s="25">
        <v>870.23</v>
      </c>
      <c r="I8" s="25">
        <v>645.06999999999994</v>
      </c>
      <c r="J8" s="25">
        <v>72591.94</v>
      </c>
      <c r="K8" s="25">
        <v>4685.04</v>
      </c>
      <c r="L8" s="25">
        <v>1661.09</v>
      </c>
      <c r="M8" s="25">
        <v>2877.14</v>
      </c>
      <c r="N8" s="25">
        <v>9980.27</v>
      </c>
    </row>
    <row r="9" spans="1:14" x14ac:dyDescent="0.35">
      <c r="A9">
        <v>42524</v>
      </c>
      <c r="B9" s="25">
        <v>7523.8</v>
      </c>
      <c r="C9" s="25"/>
      <c r="D9" s="25">
        <v>117.83</v>
      </c>
      <c r="E9" s="25">
        <v>3112.9300000000003</v>
      </c>
      <c r="F9" s="25">
        <v>2110.6999999999998</v>
      </c>
      <c r="G9" s="25">
        <v>1818.2999999999997</v>
      </c>
      <c r="H9" s="25">
        <v>1874.08</v>
      </c>
      <c r="I9" s="25">
        <v>804.31000000000006</v>
      </c>
      <c r="J9" s="25">
        <v>4636.5</v>
      </c>
      <c r="K9" s="25">
        <v>8539.4599999999991</v>
      </c>
      <c r="L9" s="25">
        <v>1047.3499999999999</v>
      </c>
      <c r="M9" s="25">
        <v>2804.56</v>
      </c>
      <c r="N9" s="25">
        <v>100029.37</v>
      </c>
    </row>
    <row r="10" spans="1:14" x14ac:dyDescent="0.35">
      <c r="A10">
        <v>42525</v>
      </c>
      <c r="B10" s="25"/>
      <c r="C10" s="25"/>
      <c r="D10" s="25">
        <v>1114.82</v>
      </c>
      <c r="E10" s="25">
        <v>2146.9699999999998</v>
      </c>
      <c r="F10" s="25">
        <v>6810.0399999999991</v>
      </c>
      <c r="G10" s="25"/>
      <c r="H10" s="25">
        <v>168488.06</v>
      </c>
      <c r="I10" s="25">
        <v>3612.16</v>
      </c>
      <c r="J10" s="25">
        <v>877.76</v>
      </c>
      <c r="K10" s="25">
        <v>1577.3</v>
      </c>
      <c r="L10" s="25">
        <v>91401.76</v>
      </c>
      <c r="M10" s="25">
        <v>907.58</v>
      </c>
      <c r="N10" s="25">
        <v>978.06</v>
      </c>
    </row>
    <row r="11" spans="1:14" x14ac:dyDescent="0.35">
      <c r="A11">
        <v>42528</v>
      </c>
      <c r="B11" s="25"/>
      <c r="C11" s="25"/>
      <c r="D11" s="25">
        <v>10270.23</v>
      </c>
      <c r="E11" s="25">
        <v>2350.94</v>
      </c>
      <c r="F11" s="25">
        <v>1705.8400000000001</v>
      </c>
      <c r="G11" s="25">
        <v>4323.09</v>
      </c>
      <c r="H11" s="25">
        <v>5412.03</v>
      </c>
      <c r="I11" s="25">
        <v>1722.2600000000002</v>
      </c>
      <c r="J11" s="25">
        <v>2933.3999999999996</v>
      </c>
      <c r="K11" s="25">
        <v>5461.4699999999993</v>
      </c>
      <c r="L11" s="25">
        <v>1354.6999999999998</v>
      </c>
      <c r="M11" s="25">
        <v>380.52</v>
      </c>
      <c r="N11" s="25">
        <v>289156.32000000007</v>
      </c>
    </row>
    <row r="12" spans="1:14" x14ac:dyDescent="0.35">
      <c r="A12">
        <v>42529</v>
      </c>
      <c r="B12" s="25"/>
      <c r="C12" s="25"/>
      <c r="D12" s="25">
        <v>6910.7300000000005</v>
      </c>
      <c r="E12" s="25">
        <v>3266.29</v>
      </c>
      <c r="F12" s="25">
        <v>1496.29</v>
      </c>
      <c r="G12" s="25">
        <v>2881.4500000000003</v>
      </c>
      <c r="H12" s="25">
        <v>6549.3</v>
      </c>
      <c r="I12" s="25">
        <v>910.25</v>
      </c>
      <c r="J12" s="25">
        <v>63474.7</v>
      </c>
      <c r="K12" s="25">
        <v>2983.2</v>
      </c>
      <c r="L12" s="25">
        <v>19941.89</v>
      </c>
      <c r="M12" s="25">
        <v>7136.91</v>
      </c>
      <c r="N12" s="25"/>
    </row>
    <row r="13" spans="1:14" x14ac:dyDescent="0.35">
      <c r="A13">
        <v>42534</v>
      </c>
      <c r="B13" s="25"/>
      <c r="C13" s="25"/>
      <c r="D13" s="25">
        <v>674.65</v>
      </c>
      <c r="E13" s="25">
        <v>1166.97</v>
      </c>
      <c r="F13" s="25">
        <v>1067.1099999999999</v>
      </c>
      <c r="G13" s="25">
        <v>1780.71</v>
      </c>
      <c r="H13" s="25">
        <v>1889.31</v>
      </c>
      <c r="I13" s="25">
        <v>1694.22</v>
      </c>
      <c r="J13" s="25">
        <v>1667.52</v>
      </c>
      <c r="K13" s="25"/>
      <c r="L13" s="25">
        <v>3642.7799999999997</v>
      </c>
      <c r="M13" s="25">
        <v>10334.57</v>
      </c>
      <c r="N13" s="25"/>
    </row>
    <row r="14" spans="1:14" x14ac:dyDescent="0.35">
      <c r="A14">
        <v>42540</v>
      </c>
      <c r="B14" s="25"/>
      <c r="C14" s="25"/>
      <c r="D14" s="25">
        <v>3935.8500000000004</v>
      </c>
      <c r="E14" s="25">
        <v>3387.6200000000003</v>
      </c>
      <c r="F14" s="25">
        <v>588.53</v>
      </c>
      <c r="G14" s="25">
        <v>2570.46</v>
      </c>
      <c r="H14" s="25">
        <v>3920.6699999999996</v>
      </c>
      <c r="I14" s="25">
        <v>6257.6900000000005</v>
      </c>
      <c r="J14" s="25">
        <v>65032.649999999994</v>
      </c>
      <c r="K14" s="25">
        <v>6573.5</v>
      </c>
      <c r="L14" s="25">
        <v>1339.21</v>
      </c>
      <c r="M14" s="25">
        <v>3182.8</v>
      </c>
      <c r="N14" s="25">
        <v>1363.81</v>
      </c>
    </row>
    <row r="15" spans="1:14" x14ac:dyDescent="0.35">
      <c r="A15">
        <v>42542</v>
      </c>
      <c r="B15" s="25"/>
      <c r="C15" s="25"/>
      <c r="D15" s="25">
        <v>7369.98</v>
      </c>
      <c r="E15" s="25">
        <v>2607.6299999999997</v>
      </c>
      <c r="F15" s="25">
        <v>1394.12</v>
      </c>
      <c r="G15" s="25">
        <v>9680.1</v>
      </c>
      <c r="H15" s="25">
        <v>2889.71</v>
      </c>
      <c r="I15" s="25">
        <v>1325.85</v>
      </c>
      <c r="J15" s="25">
        <v>1473.7199999999998</v>
      </c>
      <c r="K15" s="25">
        <v>1116.1300000000001</v>
      </c>
      <c r="L15" s="25">
        <v>83329.119999999995</v>
      </c>
      <c r="M15" s="25">
        <v>1565.71</v>
      </c>
      <c r="N15" s="25">
        <v>1870.17</v>
      </c>
    </row>
    <row r="16" spans="1:14" x14ac:dyDescent="0.35">
      <c r="A16" t="s">
        <v>155</v>
      </c>
      <c r="B16" s="25">
        <f>SUM(B6:B15)</f>
        <v>7946.76</v>
      </c>
      <c r="C16" s="25">
        <f t="shared" ref="C16:N16" si="0">SUM(C6:C15)</f>
        <v>214.78</v>
      </c>
      <c r="D16" s="25">
        <f t="shared" si="0"/>
        <v>35258.86</v>
      </c>
      <c r="E16" s="25">
        <f t="shared" si="0"/>
        <v>24491.13</v>
      </c>
      <c r="F16" s="25">
        <f t="shared" si="0"/>
        <v>34227.9</v>
      </c>
      <c r="G16" s="25">
        <f t="shared" si="0"/>
        <v>36372.54</v>
      </c>
      <c r="H16" s="25">
        <f t="shared" si="0"/>
        <v>197439.72999999998</v>
      </c>
      <c r="I16" s="25">
        <f t="shared" si="0"/>
        <v>18574.559999999998</v>
      </c>
      <c r="J16" s="25">
        <f t="shared" si="0"/>
        <v>276103.29999999993</v>
      </c>
      <c r="K16" s="25">
        <f t="shared" si="0"/>
        <v>96312.16</v>
      </c>
      <c r="L16" s="25">
        <f t="shared" si="0"/>
        <v>214458.15</v>
      </c>
      <c r="M16" s="25">
        <f t="shared" si="0"/>
        <v>36226.130000000005</v>
      </c>
      <c r="N16" s="25">
        <f t="shared" si="0"/>
        <v>415960.4</v>
      </c>
    </row>
    <row r="17" spans="1:14" x14ac:dyDescent="0.35">
      <c r="A17" t="s">
        <v>303</v>
      </c>
      <c r="B17" s="132">
        <f>PRODUCT(B16,'servis podľa rokov'!J64:$U$64)</f>
        <v>11735.995418339226</v>
      </c>
      <c r="C17" s="132">
        <f>PRODUCT(C16,'servis podľa rokov'!K64:$U$64)</f>
        <v>312.83729919498677</v>
      </c>
      <c r="D17" s="132">
        <f>PRODUCT(D16,'servis podľa rokov'!L64:$U$64)</f>
        <v>51391.680468370345</v>
      </c>
      <c r="E17" s="132">
        <f>PRODUCT(E16,'servis podľa rokov'!M64:$U$64)</f>
        <v>35814.919600293404</v>
      </c>
      <c r="F17" s="132">
        <f>PRODUCT(F16,'servis podľa rokov'!N64:$U$64)</f>
        <v>50314.768475066259</v>
      </c>
      <c r="G17" s="132">
        <f>PRODUCT(G16,'servis podľa rokov'!O64:$U$64)</f>
        <v>52776.879683588624</v>
      </c>
      <c r="H17" s="132">
        <f>PRODUCT(H16,'servis podľa rokov'!P64:$U$64)</f>
        <v>279513.92121342249</v>
      </c>
      <c r="I17" s="132">
        <f>PRODUCT(I16,'servis podľa rokov'!Q64:$U$64)</f>
        <v>25610.341799073132</v>
      </c>
      <c r="J17" s="132">
        <f>PRODUCT(J16,'servis podľa rokov'!R64:$U$64)</f>
        <v>373458.93717075721</v>
      </c>
      <c r="K17" s="132">
        <f>PRODUCT(K16,'servis podľa rokov'!S64:$U$64)</f>
        <v>126283.9232370509</v>
      </c>
      <c r="L17" s="132">
        <f>PRODUCT(L16,'servis podľa rokov'!T64:$U$64)</f>
        <v>249287.4403089</v>
      </c>
      <c r="M17" s="132">
        <f>PRODUCT(M16,'servis podľa rokov'!U64:$U$64)</f>
        <v>38073.662629999999</v>
      </c>
      <c r="N17" s="132">
        <f>PRODUCT(N16,'servis podľa rokov'!$U64:V$64)</f>
        <v>437174.38040000002</v>
      </c>
    </row>
    <row r="19" spans="1:14" s="107" customFormat="1" x14ac:dyDescent="0.35">
      <c r="A19" s="107" t="s">
        <v>213</v>
      </c>
      <c r="B19" s="107">
        <v>2008</v>
      </c>
    </row>
    <row r="21" spans="1:14" x14ac:dyDescent="0.35">
      <c r="A21" t="s">
        <v>214</v>
      </c>
      <c r="B21" t="s">
        <v>215</v>
      </c>
    </row>
    <row r="22" spans="1:14" s="107" customFormat="1" x14ac:dyDescent="0.35">
      <c r="B22" s="107" t="s">
        <v>222</v>
      </c>
      <c r="C22" s="107" t="s">
        <v>223</v>
      </c>
      <c r="D22" s="107" t="s">
        <v>224</v>
      </c>
      <c r="E22" s="107" t="s">
        <v>225</v>
      </c>
      <c r="F22" s="107" t="s">
        <v>226</v>
      </c>
      <c r="G22" s="107" t="s">
        <v>227</v>
      </c>
      <c r="H22" s="107" t="s">
        <v>228</v>
      </c>
      <c r="I22" s="107" t="s">
        <v>229</v>
      </c>
      <c r="J22" s="107" t="s">
        <v>230</v>
      </c>
      <c r="K22" s="107" t="s">
        <v>231</v>
      </c>
      <c r="L22" s="107" t="s">
        <v>232</v>
      </c>
    </row>
    <row r="23" spans="1:14" x14ac:dyDescent="0.35">
      <c r="A23" t="s">
        <v>154</v>
      </c>
      <c r="B23">
        <v>2013</v>
      </c>
      <c r="C23">
        <v>2014</v>
      </c>
      <c r="D23">
        <v>2015</v>
      </c>
      <c r="E23">
        <v>2016</v>
      </c>
      <c r="F23">
        <v>2017</v>
      </c>
      <c r="G23">
        <v>2018</v>
      </c>
      <c r="H23">
        <v>2019</v>
      </c>
      <c r="I23">
        <v>2020</v>
      </c>
      <c r="J23">
        <v>2021</v>
      </c>
      <c r="K23">
        <v>2022</v>
      </c>
      <c r="L23">
        <v>2023</v>
      </c>
    </row>
    <row r="24" spans="1:14" x14ac:dyDescent="0.35">
      <c r="A24">
        <v>42506</v>
      </c>
      <c r="B24" s="25">
        <v>299.88</v>
      </c>
      <c r="C24" s="25">
        <v>1316.03</v>
      </c>
      <c r="D24" s="25">
        <v>899.96</v>
      </c>
      <c r="E24" s="25">
        <v>2349.17</v>
      </c>
      <c r="F24" s="25">
        <v>3648</v>
      </c>
      <c r="G24" s="25">
        <v>1775.53</v>
      </c>
      <c r="H24" s="25">
        <v>931.78</v>
      </c>
      <c r="I24" s="25">
        <v>68873.100000000006</v>
      </c>
      <c r="J24" s="25">
        <v>1676.39</v>
      </c>
      <c r="K24" s="25">
        <v>45563.11</v>
      </c>
      <c r="L24" s="25">
        <v>1343.9899999999998</v>
      </c>
    </row>
    <row r="25" spans="1:14" x14ac:dyDescent="0.35">
      <c r="A25">
        <v>42659</v>
      </c>
      <c r="B25" s="25">
        <v>36</v>
      </c>
      <c r="C25" s="25">
        <v>735.68000000000006</v>
      </c>
      <c r="D25" s="25">
        <v>3796.3100000000004</v>
      </c>
      <c r="E25" s="25">
        <v>3598.2000000000003</v>
      </c>
      <c r="F25" s="25">
        <v>1259.6200000000001</v>
      </c>
      <c r="G25" s="25">
        <v>644.46</v>
      </c>
      <c r="H25" s="25">
        <v>62025.2</v>
      </c>
      <c r="I25" s="25"/>
      <c r="J25" s="25">
        <v>25008.149999999998</v>
      </c>
      <c r="K25" s="25">
        <v>43.68</v>
      </c>
      <c r="L25" s="25"/>
    </row>
    <row r="26" spans="1:14" x14ac:dyDescent="0.35">
      <c r="A26" t="s">
        <v>155</v>
      </c>
      <c r="B26" s="25">
        <f>SUM(B24:B25)</f>
        <v>335.88</v>
      </c>
      <c r="C26" s="25">
        <f t="shared" ref="C26:L26" si="1">SUM(C24:C25)</f>
        <v>2051.71</v>
      </c>
      <c r="D26" s="25">
        <f t="shared" si="1"/>
        <v>4696.2700000000004</v>
      </c>
      <c r="E26" s="25">
        <f t="shared" si="1"/>
        <v>5947.3700000000008</v>
      </c>
      <c r="F26" s="25">
        <f t="shared" si="1"/>
        <v>4907.62</v>
      </c>
      <c r="G26" s="25">
        <f t="shared" si="1"/>
        <v>2419.9899999999998</v>
      </c>
      <c r="H26" s="25">
        <f t="shared" si="1"/>
        <v>62956.979999999996</v>
      </c>
      <c r="I26" s="25">
        <f t="shared" si="1"/>
        <v>68873.100000000006</v>
      </c>
      <c r="J26" s="25">
        <f t="shared" si="1"/>
        <v>26684.539999999997</v>
      </c>
      <c r="K26" s="25">
        <f t="shared" si="1"/>
        <v>45606.79</v>
      </c>
      <c r="L26" s="25">
        <f t="shared" si="1"/>
        <v>1343.9899999999998</v>
      </c>
    </row>
    <row r="27" spans="1:14" x14ac:dyDescent="0.35">
      <c r="A27" t="s">
        <v>303</v>
      </c>
      <c r="B27" s="132">
        <f>PRODUCT(B26,'servis podľa rokov'!K64:$U$64)</f>
        <v>489.22521675021937</v>
      </c>
      <c r="C27" s="132">
        <f>PRODUCT(C26,'servis podľa rokov'!L64:$U$64)</f>
        <v>2990.4774213845849</v>
      </c>
      <c r="D27" s="132">
        <f>PRODUCT(D26,'servis podľa rokov'!M64:$U$64)</f>
        <v>6867.650960624107</v>
      </c>
      <c r="E27" s="132">
        <f>PRODUCT(E26,'servis podľa rokov'!N64:$U$64)</f>
        <v>8742.59141184691</v>
      </c>
      <c r="F27" s="132">
        <f>PRODUCT(F26,'servis podľa rokov'!O64:$U$64)</f>
        <v>7121.0003555642033</v>
      </c>
      <c r="G27" s="132">
        <f>PRODUCT(G26,'servis podľa rokov'!P64:$U$64)</f>
        <v>3425.9614019795822</v>
      </c>
      <c r="H27" s="132">
        <f>PRODUCT(H26,'servis podľa rokov'!Q64:$U$64)</f>
        <v>86804.197592697281</v>
      </c>
      <c r="I27" s="132">
        <f>PRODUCT(I26,'servis podľa rokov'!R64:$U$64)</f>
        <v>93158.157565140616</v>
      </c>
      <c r="J27" s="132">
        <f>PRODUCT(J26,'servis podľa rokov'!S64:$U$64)</f>
        <v>34988.607886854727</v>
      </c>
      <c r="K27" s="132">
        <f>PRODUCT(K26,'servis podľa rokov'!T64:$U$64)</f>
        <v>53013.606336740006</v>
      </c>
      <c r="L27" s="132">
        <f>PRODUCT(L26,'servis podľa rokov'!U64:$U$64)</f>
        <v>1412.5334899999996</v>
      </c>
    </row>
    <row r="30" spans="1:14" s="107" customFormat="1" x14ac:dyDescent="0.35">
      <c r="A30" s="107" t="s">
        <v>213</v>
      </c>
      <c r="B30" s="107">
        <v>2009</v>
      </c>
    </row>
    <row r="32" spans="1:14" x14ac:dyDescent="0.35">
      <c r="A32" t="s">
        <v>214</v>
      </c>
      <c r="B32" t="s">
        <v>215</v>
      </c>
    </row>
    <row r="33" spans="1:13" s="107" customFormat="1" x14ac:dyDescent="0.35">
      <c r="B33" s="107" t="s">
        <v>220</v>
      </c>
      <c r="C33" s="107" t="s">
        <v>221</v>
      </c>
      <c r="D33" s="107" t="s">
        <v>222</v>
      </c>
      <c r="E33" s="107" t="s">
        <v>223</v>
      </c>
      <c r="F33" s="107" t="s">
        <v>224</v>
      </c>
      <c r="G33" s="107" t="s">
        <v>225</v>
      </c>
      <c r="H33" s="107" t="s">
        <v>226</v>
      </c>
      <c r="I33" s="107" t="s">
        <v>227</v>
      </c>
      <c r="J33" s="107" t="s">
        <v>228</v>
      </c>
      <c r="K33" s="107" t="s">
        <v>229</v>
      </c>
      <c r="L33" s="107" t="s">
        <v>230</v>
      </c>
      <c r="M33" s="107" t="s">
        <v>231</v>
      </c>
    </row>
    <row r="34" spans="1:13" x14ac:dyDescent="0.35">
      <c r="A34" t="s">
        <v>154</v>
      </c>
      <c r="B34">
        <v>2012</v>
      </c>
      <c r="C34">
        <v>2013</v>
      </c>
      <c r="D34">
        <v>2014</v>
      </c>
      <c r="E34">
        <v>2015</v>
      </c>
      <c r="F34">
        <v>2016</v>
      </c>
      <c r="G34">
        <v>2017</v>
      </c>
      <c r="H34">
        <v>2018</v>
      </c>
      <c r="I34">
        <v>2019</v>
      </c>
      <c r="J34">
        <v>2020</v>
      </c>
      <c r="K34">
        <v>2021</v>
      </c>
      <c r="L34">
        <v>2022</v>
      </c>
      <c r="M34">
        <v>2023</v>
      </c>
    </row>
    <row r="35" spans="1:13" x14ac:dyDescent="0.35">
      <c r="A35">
        <v>42672</v>
      </c>
      <c r="B35" s="25"/>
      <c r="C35" s="25">
        <v>2583.54</v>
      </c>
      <c r="D35" s="25">
        <v>2816.48</v>
      </c>
      <c r="E35" s="25">
        <v>147.16</v>
      </c>
      <c r="F35" s="25">
        <v>1513.05</v>
      </c>
      <c r="G35" s="25">
        <v>6023.24</v>
      </c>
      <c r="H35" s="25">
        <v>4279.79</v>
      </c>
      <c r="I35" s="25">
        <v>848.22</v>
      </c>
      <c r="J35" s="25">
        <v>1964.79</v>
      </c>
      <c r="K35" s="25">
        <v>92111</v>
      </c>
      <c r="L35" s="25"/>
      <c r="M35" s="25">
        <v>1398.41</v>
      </c>
    </row>
    <row r="36" spans="1:13" x14ac:dyDescent="0.35">
      <c r="A36">
        <v>42675</v>
      </c>
      <c r="B36" s="25">
        <v>1200</v>
      </c>
      <c r="C36" s="25">
        <v>1710.72</v>
      </c>
      <c r="D36" s="25">
        <v>10720.2</v>
      </c>
      <c r="E36" s="25"/>
      <c r="F36" s="25">
        <v>3464.29</v>
      </c>
      <c r="G36" s="25">
        <v>3489.3</v>
      </c>
      <c r="H36" s="25">
        <v>9105</v>
      </c>
      <c r="I36" s="25">
        <v>63436.35</v>
      </c>
      <c r="J36" s="25"/>
      <c r="K36" s="25">
        <v>37850.080000000002</v>
      </c>
      <c r="L36" s="25">
        <v>2561.2600000000002</v>
      </c>
      <c r="M36" s="25">
        <v>3207.2400000000002</v>
      </c>
    </row>
    <row r="37" spans="1:13" x14ac:dyDescent="0.35">
      <c r="A37">
        <v>42679</v>
      </c>
      <c r="B37" s="25"/>
      <c r="C37" s="25">
        <v>4319.9799999999996</v>
      </c>
      <c r="D37" s="25">
        <v>5257.87</v>
      </c>
      <c r="E37" s="25">
        <v>3992.08</v>
      </c>
      <c r="F37" s="25">
        <v>1642.9800000000002</v>
      </c>
      <c r="G37" s="25">
        <v>826.6</v>
      </c>
      <c r="H37" s="25">
        <v>779.52</v>
      </c>
      <c r="I37" s="25">
        <v>6487.4599999999991</v>
      </c>
      <c r="J37" s="25">
        <v>2763.09</v>
      </c>
      <c r="K37" s="25">
        <v>1175.0900000000001</v>
      </c>
      <c r="L37" s="25">
        <v>7346.49</v>
      </c>
      <c r="M37" s="25">
        <v>1360.2800000000002</v>
      </c>
    </row>
    <row r="38" spans="1:13" x14ac:dyDescent="0.35">
      <c r="A38">
        <v>42682</v>
      </c>
      <c r="B38" s="25"/>
      <c r="C38" s="25">
        <v>8989.2000000000007</v>
      </c>
      <c r="D38" s="25">
        <v>1588.65</v>
      </c>
      <c r="E38" s="25">
        <v>1729.78</v>
      </c>
      <c r="F38" s="25">
        <v>2936.52</v>
      </c>
      <c r="G38" s="25">
        <v>2044.8899999999996</v>
      </c>
      <c r="H38" s="25">
        <v>335.53999999999996</v>
      </c>
      <c r="I38" s="25">
        <v>4903.68</v>
      </c>
      <c r="J38" s="25">
        <v>1592.1499999999999</v>
      </c>
      <c r="K38" s="25">
        <v>104673.40000000001</v>
      </c>
      <c r="L38" s="25">
        <v>6776.45</v>
      </c>
      <c r="M38" s="25">
        <v>3201.2700000000004</v>
      </c>
    </row>
    <row r="39" spans="1:13" x14ac:dyDescent="0.35">
      <c r="A39">
        <v>42683</v>
      </c>
      <c r="B39" s="25"/>
      <c r="C39" s="25">
        <v>1900.76</v>
      </c>
      <c r="D39" s="25">
        <v>3452.54</v>
      </c>
      <c r="E39" s="25">
        <v>3894.46</v>
      </c>
      <c r="F39" s="25">
        <v>6707.9599999999991</v>
      </c>
      <c r="G39" s="25">
        <v>5321.09</v>
      </c>
      <c r="H39" s="25">
        <v>374.95</v>
      </c>
      <c r="I39" s="25">
        <v>92384</v>
      </c>
      <c r="J39" s="25"/>
      <c r="K39" s="25">
        <v>2683.6800000000003</v>
      </c>
      <c r="L39" s="25"/>
      <c r="M39" s="25">
        <v>3711.09</v>
      </c>
    </row>
    <row r="40" spans="1:13" x14ac:dyDescent="0.35">
      <c r="A40">
        <v>42684</v>
      </c>
      <c r="B40" s="25">
        <v>600</v>
      </c>
      <c r="C40" s="25">
        <v>1101.19</v>
      </c>
      <c r="D40" s="25">
        <v>2488.8900000000003</v>
      </c>
      <c r="E40" s="25">
        <v>2098.54</v>
      </c>
      <c r="F40" s="25">
        <v>644.17999999999995</v>
      </c>
      <c r="G40" s="25">
        <v>2986.46</v>
      </c>
      <c r="H40" s="25">
        <v>2722.0299999999997</v>
      </c>
      <c r="I40" s="25">
        <v>1144.8699999999999</v>
      </c>
      <c r="J40" s="25">
        <v>62777.87</v>
      </c>
      <c r="K40" s="25">
        <v>1590.07</v>
      </c>
      <c r="L40" s="25"/>
      <c r="M40" s="25"/>
    </row>
    <row r="41" spans="1:13" x14ac:dyDescent="0.35">
      <c r="A41">
        <v>42685</v>
      </c>
      <c r="B41" s="25"/>
      <c r="C41" s="25">
        <v>13932.48</v>
      </c>
      <c r="D41" s="25">
        <v>6126.01</v>
      </c>
      <c r="E41" s="25">
        <v>7618.6399999999994</v>
      </c>
      <c r="F41" s="25">
        <v>6538.26</v>
      </c>
      <c r="G41" s="25">
        <v>9493.3799999999992</v>
      </c>
      <c r="H41" s="25">
        <v>2379.54</v>
      </c>
      <c r="I41" s="25">
        <v>13608.260000000002</v>
      </c>
      <c r="J41" s="25">
        <v>1449.1799999999998</v>
      </c>
      <c r="K41" s="25">
        <v>13833.180000000002</v>
      </c>
      <c r="L41" s="25">
        <v>122765.79000000001</v>
      </c>
      <c r="M41" s="25">
        <v>5863.9</v>
      </c>
    </row>
    <row r="42" spans="1:13" x14ac:dyDescent="0.35">
      <c r="A42">
        <v>42849</v>
      </c>
      <c r="B42" s="25"/>
      <c r="C42" s="25">
        <v>20768.39</v>
      </c>
      <c r="D42" s="25">
        <v>2039.84</v>
      </c>
      <c r="E42" s="25">
        <v>2406.58</v>
      </c>
      <c r="F42" s="25">
        <v>24249.18</v>
      </c>
      <c r="G42" s="25">
        <v>9874.48</v>
      </c>
      <c r="H42" s="25">
        <v>6073.88</v>
      </c>
      <c r="I42" s="25">
        <v>3862.5</v>
      </c>
      <c r="J42" s="25">
        <v>358829.93999999994</v>
      </c>
      <c r="K42" s="25">
        <v>9314.06</v>
      </c>
      <c r="L42" s="25">
        <v>12115.83</v>
      </c>
      <c r="M42" s="25">
        <v>8764.9599999999991</v>
      </c>
    </row>
    <row r="43" spans="1:13" x14ac:dyDescent="0.35">
      <c r="A43">
        <v>42850</v>
      </c>
      <c r="B43" s="25"/>
      <c r="C43" s="25">
        <v>7230.02</v>
      </c>
      <c r="D43" s="25">
        <v>16181.019999999999</v>
      </c>
      <c r="E43" s="25">
        <v>1160.52</v>
      </c>
      <c r="F43" s="25">
        <v>12122.67</v>
      </c>
      <c r="G43" s="25">
        <v>11809.26</v>
      </c>
      <c r="H43" s="25">
        <v>8633.94</v>
      </c>
      <c r="I43" s="25">
        <v>6603.2599999999993</v>
      </c>
      <c r="J43" s="25">
        <v>202312.49000000002</v>
      </c>
      <c r="K43" s="25">
        <v>55207.039999999994</v>
      </c>
      <c r="L43" s="25">
        <v>12543.460000000001</v>
      </c>
      <c r="M43" s="25">
        <v>9714.91</v>
      </c>
    </row>
    <row r="44" spans="1:13" x14ac:dyDescent="0.35">
      <c r="A44">
        <v>42853</v>
      </c>
      <c r="B44" s="25"/>
      <c r="C44" s="25">
        <v>4723.2</v>
      </c>
      <c r="D44" s="25">
        <v>6051.5199999999995</v>
      </c>
      <c r="E44" s="25">
        <v>6695.3899999999994</v>
      </c>
      <c r="F44" s="25">
        <v>5988</v>
      </c>
      <c r="G44" s="25">
        <v>7742.05</v>
      </c>
      <c r="H44" s="25">
        <v>6410.84</v>
      </c>
      <c r="I44" s="25">
        <v>2326.13</v>
      </c>
      <c r="J44" s="25">
        <v>150995.27000000002</v>
      </c>
      <c r="K44" s="25">
        <v>10729.829999999998</v>
      </c>
      <c r="L44" s="25">
        <v>9030.7000000000007</v>
      </c>
      <c r="M44" s="25">
        <v>24786.249999999996</v>
      </c>
    </row>
    <row r="45" spans="1:13" x14ac:dyDescent="0.35">
      <c r="A45">
        <v>42859</v>
      </c>
      <c r="B45" s="25"/>
      <c r="C45" s="25">
        <v>2394.7199999999998</v>
      </c>
      <c r="D45" s="25">
        <v>6466.6299999999992</v>
      </c>
      <c r="E45" s="25">
        <v>11129.48</v>
      </c>
      <c r="F45" s="25">
        <v>7719.91</v>
      </c>
      <c r="G45" s="25">
        <v>6593.33</v>
      </c>
      <c r="H45" s="25">
        <v>5543.88</v>
      </c>
      <c r="I45" s="25">
        <v>6496.13</v>
      </c>
      <c r="J45" s="25">
        <v>133748.78999999998</v>
      </c>
      <c r="K45" s="25">
        <v>23379.21</v>
      </c>
      <c r="L45" s="25">
        <v>14491.979999999998</v>
      </c>
      <c r="M45" s="25">
        <v>21012.06</v>
      </c>
    </row>
    <row r="46" spans="1:13" x14ac:dyDescent="0.35">
      <c r="A46">
        <v>42860</v>
      </c>
      <c r="B46" s="25"/>
      <c r="C46" s="25"/>
      <c r="D46" s="25">
        <v>1278.18</v>
      </c>
      <c r="E46" s="25">
        <v>1179.32</v>
      </c>
      <c r="F46" s="25">
        <v>7212.6</v>
      </c>
      <c r="G46" s="25">
        <v>4932.6000000000004</v>
      </c>
      <c r="H46" s="25">
        <v>11119.37</v>
      </c>
      <c r="I46" s="25">
        <v>14681.04</v>
      </c>
      <c r="J46" s="25">
        <v>136057.12</v>
      </c>
      <c r="K46" s="25">
        <v>12162.03</v>
      </c>
      <c r="L46" s="25">
        <v>7546</v>
      </c>
      <c r="M46" s="25">
        <v>8545.5499999999993</v>
      </c>
    </row>
    <row r="47" spans="1:13" x14ac:dyDescent="0.35">
      <c r="A47" t="s">
        <v>155</v>
      </c>
      <c r="B47" s="25">
        <v>1800</v>
      </c>
      <c r="C47" s="25">
        <v>69654.2</v>
      </c>
      <c r="D47" s="25">
        <v>64467.829999999987</v>
      </c>
      <c r="E47" s="25">
        <v>42051.95</v>
      </c>
      <c r="F47" s="25">
        <v>80739.600000000006</v>
      </c>
      <c r="G47" s="25">
        <v>71136.680000000008</v>
      </c>
      <c r="H47" s="25">
        <v>57758.28</v>
      </c>
      <c r="I47" s="25">
        <v>216781.90000000002</v>
      </c>
      <c r="J47" s="25">
        <v>1052490.69</v>
      </c>
      <c r="K47" s="25">
        <v>364708.67000000004</v>
      </c>
      <c r="L47" s="25">
        <v>195177.96000000002</v>
      </c>
      <c r="M47" s="25">
        <v>91565.92</v>
      </c>
    </row>
    <row r="48" spans="1:13" x14ac:dyDescent="0.35">
      <c r="A48" t="s">
        <v>303</v>
      </c>
      <c r="B48" s="132">
        <f>PRODUCT(B47,'servis podľa rokov'!J64:$U$64)</f>
        <v>2658.2898883331836</v>
      </c>
      <c r="C48" s="132">
        <f>PRODUCT(C47,'servis podľa rokov'!K64:$U$64)</f>
        <v>101454.65967775138</v>
      </c>
      <c r="D48" s="132">
        <f>PRODUCT(D47,'servis podľa rokov'!L64:$U$64)</f>
        <v>93965.321619848677</v>
      </c>
      <c r="E48" s="132">
        <f>PRODUCT(E47,'servis podľa rokov'!M64:$U$64)</f>
        <v>61495.211053371495</v>
      </c>
      <c r="F48" s="132">
        <f>PRODUCT(F47,'servis podľa rokov'!N64:$U$64)</f>
        <v>118686.63519437244</v>
      </c>
      <c r="G48" s="132">
        <f>PRODUCT(G47,'servis podľa rokov'!O64:$U$64)</f>
        <v>103219.95663349182</v>
      </c>
      <c r="H48" s="132">
        <f>PRODUCT(H47,'servis podľa rokov'!P64:$U$64)</f>
        <v>81767.956861280123</v>
      </c>
      <c r="I48" s="132">
        <f>PRODUCT(I47,'servis podľa rokov'!Q64:$U$64)</f>
        <v>298895.83144109434</v>
      </c>
      <c r="J48" s="132">
        <f>PRODUCT(J47,'servis podľa rokov'!R64:$U$64)</f>
        <v>1423605.0582137809</v>
      </c>
      <c r="K48" s="132">
        <f>PRODUCT(K47,'servis podľa rokov'!S64:$U$64)</f>
        <v>478203.80818130268</v>
      </c>
      <c r="L48" s="132">
        <f>PRODUCT(L47,'servis podľa rokov'!T64:$U$64)</f>
        <v>226876.03177176003</v>
      </c>
      <c r="M48" s="132">
        <f>PRODUCT(M47,'servis podľa rokov'!U64:$U$64)</f>
        <v>96235.781919999994</v>
      </c>
    </row>
    <row r="51" spans="1:12" s="107" customFormat="1" x14ac:dyDescent="0.35">
      <c r="A51" s="107" t="s">
        <v>213</v>
      </c>
      <c r="B51" s="107">
        <v>2012</v>
      </c>
    </row>
    <row r="53" spans="1:12" x14ac:dyDescent="0.35">
      <c r="A53" t="s">
        <v>214</v>
      </c>
      <c r="B53" t="s">
        <v>215</v>
      </c>
    </row>
    <row r="54" spans="1:12" s="107" customFormat="1" x14ac:dyDescent="0.35">
      <c r="B54" s="107" t="s">
        <v>218</v>
      </c>
      <c r="C54" s="107" t="s">
        <v>219</v>
      </c>
      <c r="D54" s="107" t="s">
        <v>220</v>
      </c>
      <c r="E54" s="107" t="s">
        <v>221</v>
      </c>
      <c r="F54" s="107" t="s">
        <v>222</v>
      </c>
      <c r="G54" s="107" t="s">
        <v>223</v>
      </c>
      <c r="H54" s="107" t="s">
        <v>224</v>
      </c>
      <c r="I54" s="107" t="s">
        <v>225</v>
      </c>
      <c r="J54" s="107" t="s">
        <v>226</v>
      </c>
      <c r="K54" s="107" t="s">
        <v>227</v>
      </c>
      <c r="L54" s="107" t="s">
        <v>228</v>
      </c>
    </row>
    <row r="55" spans="1:12" x14ac:dyDescent="0.35">
      <c r="A55" t="s">
        <v>154</v>
      </c>
      <c r="B55">
        <v>2013</v>
      </c>
      <c r="C55">
        <v>2014</v>
      </c>
      <c r="D55">
        <v>2015</v>
      </c>
      <c r="E55">
        <v>2016</v>
      </c>
      <c r="F55">
        <v>2017</v>
      </c>
      <c r="G55">
        <v>2018</v>
      </c>
      <c r="H55">
        <v>2019</v>
      </c>
      <c r="I55">
        <v>2020</v>
      </c>
      <c r="J55">
        <v>2021</v>
      </c>
      <c r="K55">
        <v>2022</v>
      </c>
      <c r="L55">
        <v>2023</v>
      </c>
    </row>
    <row r="56" spans="1:12" x14ac:dyDescent="0.35">
      <c r="A56">
        <v>44133</v>
      </c>
      <c r="B56" s="25"/>
      <c r="C56" s="25">
        <v>304.32</v>
      </c>
      <c r="D56" s="25">
        <v>2859.28</v>
      </c>
      <c r="E56" s="25">
        <v>2912.29</v>
      </c>
      <c r="F56" s="25">
        <v>1105.03</v>
      </c>
      <c r="G56" s="25">
        <v>1078.21</v>
      </c>
      <c r="H56" s="25">
        <v>1624.1</v>
      </c>
      <c r="I56" s="25">
        <v>1414.77</v>
      </c>
      <c r="J56" s="25">
        <v>6005.95</v>
      </c>
      <c r="K56" s="25">
        <v>518.39</v>
      </c>
      <c r="L56" s="25"/>
    </row>
    <row r="57" spans="1:12" x14ac:dyDescent="0.35">
      <c r="A57">
        <v>44134</v>
      </c>
      <c r="B57" s="25">
        <v>6895.63</v>
      </c>
      <c r="C57" s="25">
        <v>92976</v>
      </c>
      <c r="D57" s="25">
        <v>1968.15</v>
      </c>
      <c r="E57" s="25">
        <v>6797.2199999999993</v>
      </c>
      <c r="F57" s="25">
        <v>545.77</v>
      </c>
      <c r="G57" s="25">
        <v>9574.6299999999992</v>
      </c>
      <c r="H57" s="25">
        <v>48569.469999999994</v>
      </c>
      <c r="I57" s="25">
        <v>3600.2</v>
      </c>
      <c r="J57" s="25">
        <v>793.36</v>
      </c>
      <c r="K57" s="25">
        <v>4950.92</v>
      </c>
      <c r="L57" s="25">
        <v>3554.23</v>
      </c>
    </row>
    <row r="58" spans="1:12" x14ac:dyDescent="0.35">
      <c r="A58">
        <v>44145</v>
      </c>
      <c r="B58" s="25"/>
      <c r="C58" s="25">
        <v>1341.01</v>
      </c>
      <c r="D58" s="25">
        <v>1408.96</v>
      </c>
      <c r="E58" s="25">
        <v>3864.92</v>
      </c>
      <c r="F58" s="25">
        <v>56068.549999999996</v>
      </c>
      <c r="G58" s="25">
        <v>8114.4599999999991</v>
      </c>
      <c r="H58" s="25">
        <v>1688.51</v>
      </c>
      <c r="I58" s="25">
        <v>3770.7400000000002</v>
      </c>
      <c r="J58" s="25">
        <v>2009.19</v>
      </c>
      <c r="K58" s="25">
        <v>2322.96</v>
      </c>
      <c r="L58" s="25">
        <v>1695.85</v>
      </c>
    </row>
    <row r="59" spans="1:12" x14ac:dyDescent="0.35">
      <c r="A59" t="s">
        <v>155</v>
      </c>
      <c r="B59" s="25">
        <v>6895.63</v>
      </c>
      <c r="C59" s="25">
        <v>94621.33</v>
      </c>
      <c r="D59" s="25">
        <v>6236.39</v>
      </c>
      <c r="E59" s="25">
        <v>13574.429999999998</v>
      </c>
      <c r="F59" s="25">
        <v>57719.35</v>
      </c>
      <c r="G59" s="25">
        <v>18767.3</v>
      </c>
      <c r="H59" s="25">
        <v>51882.079999999994</v>
      </c>
      <c r="I59" s="25">
        <v>8785.7099999999991</v>
      </c>
      <c r="J59" s="25">
        <v>8808.5</v>
      </c>
      <c r="K59" s="25">
        <v>7792.27</v>
      </c>
      <c r="L59" s="25">
        <v>5250.08</v>
      </c>
    </row>
    <row r="60" spans="1:12" x14ac:dyDescent="0.35">
      <c r="A60" t="s">
        <v>303</v>
      </c>
      <c r="B60" s="132">
        <f>PRODUCT(B59,'servis podľa rokov'!K64:$U$64)</f>
        <v>10043.813508929725</v>
      </c>
      <c r="C60" s="132">
        <f>PRODUCT(C59,'servis podľa rokov'!L64:$U$64)</f>
        <v>137915.66593055546</v>
      </c>
      <c r="D60" s="132">
        <f>PRODUCT(D59,'servis podľa rokov'!M64:$U$64)</f>
        <v>9119.8652918862372</v>
      </c>
      <c r="E60" s="132">
        <f>PRODUCT(E59,'servis podľa rokov'!N64:$U$64)</f>
        <v>19954.315123948403</v>
      </c>
      <c r="F60" s="132">
        <f>PRODUCT(F59,'servis podľa rokov'!O64:$U$64)</f>
        <v>83751.29123137788</v>
      </c>
      <c r="G60" s="132">
        <f>PRODUCT(G59,'servis podľa rokov'!P64:$U$64)</f>
        <v>26568.723597771648</v>
      </c>
      <c r="H60" s="132">
        <f>PRODUCT(H59,'servis podľa rokov'!Q64:$U$64)</f>
        <v>71534.281406765833</v>
      </c>
      <c r="I60" s="132">
        <f>PRODUCT(I59,'servis podľa rokov'!R64:$U$64)</f>
        <v>11883.602691059808</v>
      </c>
      <c r="J60" s="132">
        <f>PRODUCT(J59,'servis podľa rokov'!S64:$U$64)</f>
        <v>11549.652067128001</v>
      </c>
      <c r="K60" s="132">
        <f>PRODUCT(K59,'servis podľa rokov'!T64:$U$64)</f>
        <v>9057.7814016200009</v>
      </c>
      <c r="L60" s="132">
        <f>PRODUCT(L59,'servis podľa rokov'!U64:$U$64)</f>
        <v>5517.8340799999996</v>
      </c>
    </row>
    <row r="62" spans="1:12" s="107" customFormat="1" x14ac:dyDescent="0.35">
      <c r="A62" s="107" t="s">
        <v>213</v>
      </c>
      <c r="B62" s="107">
        <v>2013</v>
      </c>
    </row>
    <row r="63" spans="1:12" s="107" customFormat="1" x14ac:dyDescent="0.35">
      <c r="B63" s="107" t="s">
        <v>217</v>
      </c>
      <c r="C63" s="107" t="s">
        <v>218</v>
      </c>
      <c r="D63" s="107" t="s">
        <v>219</v>
      </c>
      <c r="E63" s="107" t="s">
        <v>220</v>
      </c>
      <c r="F63" s="107" t="s">
        <v>221</v>
      </c>
      <c r="G63" s="107" t="s">
        <v>222</v>
      </c>
      <c r="H63" s="107" t="s">
        <v>223</v>
      </c>
      <c r="I63" s="107" t="s">
        <v>224</v>
      </c>
      <c r="J63" s="107" t="s">
        <v>225</v>
      </c>
      <c r="K63" s="107" t="s">
        <v>226</v>
      </c>
      <c r="L63" s="107" t="s">
        <v>227</v>
      </c>
    </row>
    <row r="64" spans="1:12" x14ac:dyDescent="0.35">
      <c r="A64" t="s">
        <v>154</v>
      </c>
      <c r="B64">
        <v>2013</v>
      </c>
      <c r="C64">
        <v>2014</v>
      </c>
      <c r="D64">
        <v>2015</v>
      </c>
      <c r="E64">
        <v>2016</v>
      </c>
      <c r="F64">
        <v>2017</v>
      </c>
      <c r="G64">
        <v>2018</v>
      </c>
      <c r="H64">
        <v>2019</v>
      </c>
      <c r="I64">
        <v>2020</v>
      </c>
      <c r="J64">
        <v>2021</v>
      </c>
      <c r="K64">
        <v>2022</v>
      </c>
      <c r="L64">
        <v>2023</v>
      </c>
    </row>
    <row r="65" spans="1:18" x14ac:dyDescent="0.35">
      <c r="A65">
        <v>44140</v>
      </c>
      <c r="B65" s="25">
        <v>90.72</v>
      </c>
      <c r="C65" s="25">
        <v>1260.7</v>
      </c>
      <c r="D65" s="25">
        <v>1883.67</v>
      </c>
      <c r="E65" s="25">
        <v>1133.57</v>
      </c>
      <c r="F65" s="25">
        <v>1845.35</v>
      </c>
      <c r="G65" s="25">
        <v>1442.74</v>
      </c>
      <c r="H65" s="25">
        <v>1676.0900000000001</v>
      </c>
      <c r="I65" s="25">
        <v>2417.48</v>
      </c>
      <c r="J65" s="25">
        <v>1295.1699999999998</v>
      </c>
      <c r="K65" s="25">
        <v>2540.91</v>
      </c>
      <c r="L65" s="25">
        <v>410.98</v>
      </c>
    </row>
    <row r="66" spans="1:18" x14ac:dyDescent="0.35">
      <c r="A66" t="s">
        <v>303</v>
      </c>
      <c r="B66" s="132">
        <f>PRODUCT(B65,'servis podľa rokov'!K64:$U$64)</f>
        <v>132.13800066565412</v>
      </c>
      <c r="C66" s="132">
        <f>PRODUCT(C65,'servis podľa rokov'!L64:$U$64)</f>
        <v>1837.5379001611079</v>
      </c>
      <c r="D66" s="132">
        <f>PRODUCT(D65,'servis podľa rokov'!M64:$U$64)</f>
        <v>2754.6091014781541</v>
      </c>
      <c r="E66" s="132">
        <f>PRODUCT(E65,'servis podľa rokov'!N64:$U$64)</f>
        <v>1666.3398017488905</v>
      </c>
      <c r="F66" s="132">
        <f>PRODUCT(F65,'servis podľa rokov'!O64:$U$64)</f>
        <v>2677.6192953285713</v>
      </c>
      <c r="G66" s="132">
        <f>PRODUCT(G65,'servis podľa rokov'!P64:$U$64)</f>
        <v>2042.4760239058933</v>
      </c>
      <c r="H66" s="132">
        <f>PRODUCT(H65,'servis podľa rokov'!Q64:$U$64)</f>
        <v>2310.9692927320211</v>
      </c>
      <c r="I66" s="132">
        <f>PRODUCT(I65,'servis podľa rokov'!R64:$U$64)</f>
        <v>3269.8975761302472</v>
      </c>
      <c r="J66" s="132">
        <f>PRODUCT(J65,'servis podľa rokov'!S64:$U$64)</f>
        <v>1698.21909153456</v>
      </c>
      <c r="K66" s="132">
        <f>PRODUCT(K65,'servis podľa rokov'!T64:$U$64)</f>
        <v>2953.5690294599999</v>
      </c>
      <c r="L66" s="132">
        <f>PRODUCT(L65,'servis podľa rokov'!U64:$U$64)</f>
        <v>431.93997999999999</v>
      </c>
    </row>
    <row r="74" spans="1:18" x14ac:dyDescent="0.35">
      <c r="A74" s="99" t="s">
        <v>234</v>
      </c>
    </row>
    <row r="75" spans="1:18" x14ac:dyDescent="0.35">
      <c r="A75" s="110" t="s">
        <v>304</v>
      </c>
    </row>
    <row r="76" spans="1:18" s="107" customFormat="1" x14ac:dyDescent="0.35">
      <c r="B76" s="107" t="s">
        <v>217</v>
      </c>
      <c r="C76" s="107" t="s">
        <v>218</v>
      </c>
      <c r="D76" s="107" t="s">
        <v>219</v>
      </c>
      <c r="E76" s="107" t="s">
        <v>220</v>
      </c>
      <c r="F76" s="107" t="s">
        <v>221</v>
      </c>
      <c r="G76" s="107" t="s">
        <v>222</v>
      </c>
      <c r="H76" s="107" t="s">
        <v>223</v>
      </c>
      <c r="I76" s="107" t="s">
        <v>224</v>
      </c>
      <c r="J76" s="107" t="s">
        <v>225</v>
      </c>
      <c r="K76" s="107" t="s">
        <v>226</v>
      </c>
      <c r="L76" s="107" t="s">
        <v>227</v>
      </c>
    </row>
    <row r="77" spans="1:18" x14ac:dyDescent="0.35">
      <c r="A77" t="s">
        <v>303</v>
      </c>
      <c r="F77" s="132">
        <v>11735.995418339226</v>
      </c>
      <c r="G77" s="132">
        <v>312.83729919498677</v>
      </c>
      <c r="H77" s="132">
        <v>51391.680468370345</v>
      </c>
      <c r="I77" s="132">
        <v>35814.919600293404</v>
      </c>
      <c r="J77" s="132">
        <v>50314.768475066259</v>
      </c>
      <c r="K77" s="132">
        <v>52776.879683588624</v>
      </c>
      <c r="L77" s="132">
        <v>279513.92121342249</v>
      </c>
      <c r="M77" s="132">
        <v>25610.341799073132</v>
      </c>
      <c r="N77" s="132">
        <v>373458.93717075721</v>
      </c>
      <c r="O77" s="132">
        <v>126283.9232370509</v>
      </c>
      <c r="P77" s="132">
        <v>249287.4403089</v>
      </c>
      <c r="Q77" s="132">
        <v>38073.662629999999</v>
      </c>
      <c r="R77" s="132">
        <v>437174.38040000002</v>
      </c>
    </row>
    <row r="78" spans="1:18" x14ac:dyDescent="0.35">
      <c r="A78" t="s">
        <v>303</v>
      </c>
      <c r="G78" s="132">
        <v>489.22521675021937</v>
      </c>
      <c r="H78" s="132">
        <v>2990.4774213845849</v>
      </c>
      <c r="I78" s="132">
        <v>6867.650960624107</v>
      </c>
      <c r="J78" s="132">
        <v>8742.59141184691</v>
      </c>
      <c r="K78" s="132">
        <v>7121.0003555642033</v>
      </c>
      <c r="L78" s="132">
        <v>3425.9614019795822</v>
      </c>
      <c r="M78" s="132">
        <v>86804.197592697281</v>
      </c>
      <c r="N78" s="132">
        <v>93158.157565140616</v>
      </c>
      <c r="O78" s="132">
        <v>34988.607886854727</v>
      </c>
      <c r="P78" s="132">
        <v>53013.606336740006</v>
      </c>
      <c r="Q78" s="132">
        <v>1412.5334899999996</v>
      </c>
    </row>
    <row r="79" spans="1:18" x14ac:dyDescent="0.35">
      <c r="A79" t="s">
        <v>303</v>
      </c>
      <c r="E79" s="132">
        <v>2658.2898883331836</v>
      </c>
      <c r="F79" s="132">
        <v>101454.65967775138</v>
      </c>
      <c r="G79" s="132">
        <v>93965.321619848677</v>
      </c>
      <c r="H79" s="132">
        <v>61495.211053371495</v>
      </c>
      <c r="I79" s="132">
        <v>118686.63519437244</v>
      </c>
      <c r="J79" s="132">
        <v>103219.95663349182</v>
      </c>
      <c r="K79" s="132">
        <v>81767.956861280123</v>
      </c>
      <c r="L79" s="132">
        <v>298895.83144109434</v>
      </c>
      <c r="M79" s="132">
        <v>1423605.0582137809</v>
      </c>
      <c r="N79" s="132">
        <v>478203.80818130268</v>
      </c>
      <c r="O79" s="132">
        <v>226876.03177176003</v>
      </c>
      <c r="P79" s="132">
        <v>96235.781919999994</v>
      </c>
    </row>
    <row r="80" spans="1:18" x14ac:dyDescent="0.35">
      <c r="A80" t="s">
        <v>303</v>
      </c>
      <c r="C80" s="132">
        <v>10043.813508929725</v>
      </c>
      <c r="D80" s="132">
        <v>137915.66593055546</v>
      </c>
      <c r="E80" s="132">
        <v>9119.8652918862372</v>
      </c>
      <c r="F80" s="132">
        <v>19954.315123948403</v>
      </c>
      <c r="G80" s="132">
        <v>83751.29123137788</v>
      </c>
      <c r="H80" s="132">
        <v>26568.723597771648</v>
      </c>
      <c r="I80" s="132">
        <v>71534.281406765833</v>
      </c>
      <c r="J80" s="132">
        <v>11883.602691059808</v>
      </c>
      <c r="K80" s="132">
        <v>11549.652067128001</v>
      </c>
      <c r="L80" s="132">
        <v>9057.7814016200009</v>
      </c>
      <c r="M80" s="132">
        <v>5517.8340799999996</v>
      </c>
    </row>
    <row r="81" spans="1:18" x14ac:dyDescent="0.35">
      <c r="A81" t="s">
        <v>303</v>
      </c>
      <c r="B81" s="132">
        <v>132.13800066565412</v>
      </c>
      <c r="C81" s="132">
        <v>1837.5379001611079</v>
      </c>
      <c r="D81" s="132">
        <v>2754.6091014781541</v>
      </c>
      <c r="E81" s="132">
        <v>1666.3398017488905</v>
      </c>
      <c r="F81" s="132">
        <v>2677.6192953285713</v>
      </c>
      <c r="G81" s="132">
        <v>2042.4760239058933</v>
      </c>
      <c r="H81" s="132">
        <v>2310.9692927320211</v>
      </c>
      <c r="I81" s="132">
        <v>3269.8975761302472</v>
      </c>
      <c r="J81" s="132">
        <v>1698.21909153456</v>
      </c>
      <c r="K81" s="132">
        <v>2953.5690294599999</v>
      </c>
      <c r="L81" s="132">
        <v>431.93997999999999</v>
      </c>
    </row>
    <row r="82" spans="1:18" x14ac:dyDescent="0.35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1:18" x14ac:dyDescent="0.35">
      <c r="B83" s="108">
        <v>0</v>
      </c>
      <c r="C83" s="108">
        <v>1</v>
      </c>
      <c r="D83" s="108">
        <v>2</v>
      </c>
      <c r="E83" s="108">
        <v>3</v>
      </c>
      <c r="F83" s="108">
        <v>4</v>
      </c>
      <c r="G83" s="108">
        <v>5</v>
      </c>
      <c r="H83" s="108">
        <v>6</v>
      </c>
      <c r="I83" s="108">
        <v>7</v>
      </c>
      <c r="J83" s="108">
        <v>8</v>
      </c>
      <c r="K83" s="108">
        <v>9</v>
      </c>
      <c r="L83" s="108">
        <v>10</v>
      </c>
      <c r="M83" s="108">
        <v>11</v>
      </c>
      <c r="N83" s="108">
        <v>12</v>
      </c>
      <c r="O83" s="108">
        <v>13</v>
      </c>
      <c r="P83" s="108">
        <v>14</v>
      </c>
      <c r="Q83" s="108">
        <v>15</v>
      </c>
      <c r="R83" s="108">
        <v>16</v>
      </c>
    </row>
    <row r="84" spans="1:18" s="25" customFormat="1" x14ac:dyDescent="0.35">
      <c r="A84" s="131" t="s">
        <v>303</v>
      </c>
      <c r="B84" s="25">
        <f t="shared" ref="B84:R84" si="2">SUM(B77:B81)</f>
        <v>132.13800066565412</v>
      </c>
      <c r="C84" s="25">
        <f t="shared" si="2"/>
        <v>11881.351409090832</v>
      </c>
      <c r="D84" s="25">
        <f t="shared" si="2"/>
        <v>140670.27503203362</v>
      </c>
      <c r="E84" s="25">
        <f t="shared" si="2"/>
        <v>13444.494981968312</v>
      </c>
      <c r="F84" s="25">
        <f t="shared" si="2"/>
        <v>135822.58951536758</v>
      </c>
      <c r="G84" s="25">
        <f t="shared" si="2"/>
        <v>180561.15139107764</v>
      </c>
      <c r="H84" s="25">
        <f t="shared" si="2"/>
        <v>144757.06183363008</v>
      </c>
      <c r="I84" s="25">
        <f t="shared" si="2"/>
        <v>236173.38473818605</v>
      </c>
      <c r="J84" s="25">
        <f t="shared" si="2"/>
        <v>175859.13830299937</v>
      </c>
      <c r="K84" s="25">
        <f t="shared" si="2"/>
        <v>156169.05799702092</v>
      </c>
      <c r="L84" s="25">
        <f t="shared" si="2"/>
        <v>591325.43543811643</v>
      </c>
      <c r="M84" s="25">
        <f t="shared" si="2"/>
        <v>1541537.4316855513</v>
      </c>
      <c r="N84" s="25">
        <f t="shared" si="2"/>
        <v>944820.90291720047</v>
      </c>
      <c r="O84" s="25">
        <f t="shared" si="2"/>
        <v>388148.56289566564</v>
      </c>
      <c r="P84" s="25">
        <f t="shared" si="2"/>
        <v>398536.82856563997</v>
      </c>
      <c r="Q84" s="25">
        <f t="shared" si="2"/>
        <v>39486.196120000001</v>
      </c>
      <c r="R84" s="25">
        <f t="shared" si="2"/>
        <v>437174.38040000002</v>
      </c>
    </row>
    <row r="85" spans="1:18" x14ac:dyDescent="0.35">
      <c r="A85" t="s">
        <v>305</v>
      </c>
      <c r="B85" s="21">
        <f>B84</f>
        <v>132.13800066565412</v>
      </c>
      <c r="C85" s="21">
        <f t="shared" ref="C85:L85" si="3">C84</f>
        <v>11881.351409090832</v>
      </c>
      <c r="D85" s="21">
        <f t="shared" si="3"/>
        <v>140670.27503203362</v>
      </c>
      <c r="E85" s="21">
        <f t="shared" si="3"/>
        <v>13444.494981968312</v>
      </c>
      <c r="F85" s="21">
        <f t="shared" si="3"/>
        <v>135822.58951536758</v>
      </c>
      <c r="G85" s="21">
        <f t="shared" si="3"/>
        <v>180561.15139107764</v>
      </c>
      <c r="H85" s="21">
        <f t="shared" si="3"/>
        <v>144757.06183363008</v>
      </c>
      <c r="I85" s="21">
        <f t="shared" si="3"/>
        <v>236173.38473818605</v>
      </c>
      <c r="J85" s="21">
        <f t="shared" si="3"/>
        <v>175859.13830299937</v>
      </c>
      <c r="K85" s="21">
        <f t="shared" si="3"/>
        <v>156169.05799702092</v>
      </c>
      <c r="L85" s="21">
        <f t="shared" si="3"/>
        <v>591325.43543811643</v>
      </c>
      <c r="M85" s="112">
        <f>TREND($B$85:L85,$B$83:L83,M83)</f>
        <v>385694.70652269985</v>
      </c>
      <c r="N85" s="112">
        <f>TREND($B$85:M85,$B$83:M83,N83)</f>
        <v>422904.48975163233</v>
      </c>
      <c r="O85" s="112">
        <f>TREND($B$85:N85,$B$83:N83,O83)</f>
        <v>460114.2729805648</v>
      </c>
      <c r="P85" s="112">
        <f>TREND($B$85:O85,$B$83:O83,P83)</f>
        <v>497324.05620949721</v>
      </c>
      <c r="Q85" s="112">
        <f>TREND($B$85:P85,$B$83:P83,Q83)</f>
        <v>534533.83943842968</v>
      </c>
      <c r="R85" s="112">
        <f>TREND($B$85:Q85,$B$83:Q83,R83)</f>
        <v>571743.6226673621</v>
      </c>
    </row>
    <row r="86" spans="1:18" x14ac:dyDescent="0.35">
      <c r="A86" t="s">
        <v>306</v>
      </c>
      <c r="B86" s="21">
        <f>B85/28*47</f>
        <v>221.80307254591941</v>
      </c>
      <c r="C86" s="21">
        <f t="shared" ref="C86:R86" si="4">C85/28*47</f>
        <v>19943.697008116753</v>
      </c>
      <c r="D86" s="21">
        <f t="shared" si="4"/>
        <v>236125.10451805641</v>
      </c>
      <c r="E86" s="21">
        <f t="shared" si="4"/>
        <v>22567.545148303951</v>
      </c>
      <c r="F86" s="21">
        <f t="shared" si="4"/>
        <v>227987.91811508129</v>
      </c>
      <c r="G86" s="21">
        <f t="shared" si="4"/>
        <v>303084.78983502323</v>
      </c>
      <c r="H86" s="21">
        <f t="shared" si="4"/>
        <v>242985.06807787906</v>
      </c>
      <c r="I86" s="21">
        <f t="shared" si="4"/>
        <v>396433.89581052656</v>
      </c>
      <c r="J86" s="21">
        <f t="shared" si="4"/>
        <v>295192.12500860612</v>
      </c>
      <c r="K86" s="21">
        <f t="shared" si="4"/>
        <v>262140.91878071372</v>
      </c>
      <c r="L86" s="21">
        <f t="shared" si="4"/>
        <v>992581.98091398121</v>
      </c>
      <c r="M86" s="21">
        <f t="shared" si="4"/>
        <v>647416.11452024616</v>
      </c>
      <c r="N86" s="21">
        <f t="shared" si="4"/>
        <v>709875.39351166855</v>
      </c>
      <c r="O86" s="21">
        <f t="shared" si="4"/>
        <v>772334.67250309093</v>
      </c>
      <c r="P86" s="21">
        <f t="shared" si="4"/>
        <v>834793.9514945132</v>
      </c>
      <c r="Q86" s="21">
        <f t="shared" si="4"/>
        <v>897253.23048593546</v>
      </c>
      <c r="R86" s="21">
        <f t="shared" si="4"/>
        <v>959712.50947735773</v>
      </c>
    </row>
    <row r="87" spans="1:18" x14ac:dyDescent="0.35">
      <c r="A87" s="107"/>
    </row>
    <row r="93" spans="1:18" x14ac:dyDescent="0.35">
      <c r="A93" t="s">
        <v>235</v>
      </c>
    </row>
    <row r="94" spans="1:18" x14ac:dyDescent="0.35">
      <c r="A94" t="s">
        <v>236</v>
      </c>
    </row>
    <row r="95" spans="1:18" x14ac:dyDescent="0.35">
      <c r="A95" t="s">
        <v>237</v>
      </c>
    </row>
    <row r="96" spans="1:18" x14ac:dyDescent="0.35">
      <c r="A96" t="s">
        <v>239</v>
      </c>
    </row>
    <row r="99" spans="1:2" x14ac:dyDescent="0.35">
      <c r="A99" s="110" t="s">
        <v>252</v>
      </c>
    </row>
    <row r="100" spans="1:2" x14ac:dyDescent="0.35">
      <c r="A100" t="s">
        <v>252</v>
      </c>
      <c r="B100" t="s">
        <v>253</v>
      </c>
    </row>
    <row r="101" spans="1:2" x14ac:dyDescent="0.35">
      <c r="A101" t="s">
        <v>254</v>
      </c>
      <c r="B101">
        <v>20</v>
      </c>
    </row>
    <row r="102" spans="1:2" x14ac:dyDescent="0.35">
      <c r="A102" t="s">
        <v>255</v>
      </c>
      <c r="B102">
        <v>16</v>
      </c>
    </row>
    <row r="103" spans="1:2" x14ac:dyDescent="0.35">
      <c r="A103" t="s">
        <v>256</v>
      </c>
      <c r="B103">
        <v>13</v>
      </c>
    </row>
    <row r="104" spans="1:2" x14ac:dyDescent="0.35">
      <c r="A104" t="s">
        <v>257</v>
      </c>
      <c r="B104" s="22">
        <f>1-(B103/B101)</f>
        <v>0.35</v>
      </c>
    </row>
    <row r="105" spans="1:2" x14ac:dyDescent="0.35">
      <c r="A105" t="s">
        <v>252</v>
      </c>
      <c r="B105" s="21">
        <f>B104*'finančná analýza'!B8</f>
        <v>13947499.999125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showGridLines="0" topLeftCell="B37" zoomScale="70" zoomScaleNormal="70" workbookViewId="0">
      <selection activeCell="O45" sqref="O45"/>
    </sheetView>
  </sheetViews>
  <sheetFormatPr defaultRowHeight="14.5" x14ac:dyDescent="0.35"/>
  <cols>
    <col min="1" max="1" width="35.08984375" bestFit="1" customWidth="1"/>
    <col min="2" max="3" width="9.08984375" bestFit="1" customWidth="1"/>
    <col min="4" max="6" width="9.08984375" customWidth="1"/>
    <col min="7" max="7" width="10.453125" bestFit="1" customWidth="1"/>
    <col min="8" max="9" width="10.54296875" bestFit="1" customWidth="1"/>
    <col min="10" max="13" width="12.54296875" bestFit="1" customWidth="1"/>
    <col min="14" max="14" width="12.453125" bestFit="1" customWidth="1"/>
    <col min="15" max="16" width="12.54296875" bestFit="1" customWidth="1"/>
    <col min="17" max="17" width="14.08984375" bestFit="1" customWidth="1"/>
    <col min="18" max="19" width="12.453125" bestFit="1" customWidth="1"/>
    <col min="20" max="20" width="17.81640625" customWidth="1"/>
  </cols>
  <sheetData>
    <row r="1" spans="1:20" s="97" customFormat="1" x14ac:dyDescent="0.35">
      <c r="B1" s="97" t="s">
        <v>208</v>
      </c>
    </row>
    <row r="2" spans="1:20" s="95" customFormat="1" x14ac:dyDescent="0.35">
      <c r="A2" s="96" t="s">
        <v>207</v>
      </c>
      <c r="B2" s="96">
        <v>2005</v>
      </c>
      <c r="C2" s="96">
        <v>2006</v>
      </c>
      <c r="D2" s="96">
        <v>2007</v>
      </c>
      <c r="E2" s="96">
        <v>2008</v>
      </c>
      <c r="F2" s="96">
        <v>2009</v>
      </c>
      <c r="G2" s="96">
        <v>2010</v>
      </c>
      <c r="H2" s="96">
        <v>2011</v>
      </c>
      <c r="I2" s="96">
        <v>2012</v>
      </c>
      <c r="J2" s="96">
        <v>2013</v>
      </c>
      <c r="K2" s="96">
        <v>2014</v>
      </c>
      <c r="L2" s="96">
        <v>2015</v>
      </c>
      <c r="M2" s="96">
        <v>2016</v>
      </c>
      <c r="N2" s="96">
        <v>2017</v>
      </c>
      <c r="O2" s="96">
        <v>2018</v>
      </c>
      <c r="P2" s="96">
        <v>2019</v>
      </c>
      <c r="Q2" s="96">
        <v>2020</v>
      </c>
      <c r="R2" s="96">
        <v>2021</v>
      </c>
      <c r="S2" s="96">
        <v>2022</v>
      </c>
      <c r="T2" s="96">
        <v>2023</v>
      </c>
    </row>
    <row r="3" spans="1:20" x14ac:dyDescent="0.35">
      <c r="A3" s="14">
        <v>42176</v>
      </c>
      <c r="B3" s="25"/>
      <c r="C3" s="25"/>
      <c r="D3" s="25"/>
      <c r="E3" s="25"/>
      <c r="F3" s="25"/>
      <c r="G3" s="25"/>
      <c r="H3" s="25"/>
      <c r="I3" s="25"/>
      <c r="J3" s="25">
        <v>37022.75</v>
      </c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35">
      <c r="A4" s="14">
        <v>42247</v>
      </c>
      <c r="B4" s="25"/>
      <c r="C4" s="25"/>
      <c r="D4" s="25"/>
      <c r="E4" s="25"/>
      <c r="F4" s="25"/>
      <c r="G4" s="25"/>
      <c r="H4" s="25"/>
      <c r="I4" s="25">
        <v>297.60000000000002</v>
      </c>
      <c r="J4" s="25">
        <v>6182.4</v>
      </c>
      <c r="K4" s="25">
        <v>86910.75</v>
      </c>
      <c r="L4" s="25">
        <v>21593.759999999998</v>
      </c>
      <c r="M4" s="25">
        <v>1935.31</v>
      </c>
      <c r="N4" s="25">
        <v>6901.08</v>
      </c>
      <c r="O4" s="25">
        <v>5903.4</v>
      </c>
      <c r="P4" s="25">
        <v>7485.6399999999994</v>
      </c>
      <c r="Q4" s="25">
        <v>31578.410000000003</v>
      </c>
      <c r="R4" s="25">
        <v>8307.44</v>
      </c>
      <c r="S4" s="25">
        <v>20171.96</v>
      </c>
      <c r="T4" s="25">
        <v>21332.400000000001</v>
      </c>
    </row>
    <row r="5" spans="1:20" x14ac:dyDescent="0.35">
      <c r="A5" s="14">
        <v>42249</v>
      </c>
      <c r="B5" s="25"/>
      <c r="C5" s="25"/>
      <c r="D5" s="25"/>
      <c r="E5" s="25"/>
      <c r="F5" s="25"/>
      <c r="G5" s="25"/>
      <c r="H5" s="25"/>
      <c r="I5" s="25"/>
      <c r="J5" s="25">
        <v>4723.2</v>
      </c>
      <c r="K5" s="25">
        <v>85766.47</v>
      </c>
      <c r="L5" s="25">
        <v>16702.14</v>
      </c>
      <c r="M5" s="25">
        <v>5483.33</v>
      </c>
      <c r="N5" s="25">
        <v>6494.92</v>
      </c>
      <c r="O5" s="25">
        <v>24514.550000000003</v>
      </c>
      <c r="P5" s="25">
        <v>13144.4</v>
      </c>
      <c r="Q5" s="25">
        <v>16907.990000000002</v>
      </c>
      <c r="R5" s="25">
        <v>18183.810000000001</v>
      </c>
      <c r="S5" s="25">
        <v>10951.06</v>
      </c>
      <c r="T5" s="25">
        <v>2842.42</v>
      </c>
    </row>
    <row r="6" spans="1:20" x14ac:dyDescent="0.35">
      <c r="A6" s="14">
        <v>42482</v>
      </c>
      <c r="B6" s="25"/>
      <c r="C6" s="25"/>
      <c r="D6" s="25"/>
      <c r="E6" s="25"/>
      <c r="F6" s="25"/>
      <c r="G6" s="25"/>
      <c r="H6" s="25"/>
      <c r="I6" s="25"/>
      <c r="J6" s="25">
        <v>483.3</v>
      </c>
      <c r="K6" s="25">
        <v>4465.5199999999995</v>
      </c>
      <c r="L6" s="25">
        <v>2619.12</v>
      </c>
      <c r="M6" s="25">
        <v>4009.9399999999996</v>
      </c>
      <c r="N6" s="25">
        <v>1269.93</v>
      </c>
      <c r="O6" s="25">
        <v>747.31</v>
      </c>
      <c r="P6" s="25">
        <v>1389.9099999999999</v>
      </c>
      <c r="Q6" s="25">
        <v>63247.079999999994</v>
      </c>
      <c r="R6" s="25">
        <v>3253.7699999999995</v>
      </c>
      <c r="S6" s="25">
        <v>6503.7000000000007</v>
      </c>
      <c r="T6" s="25">
        <v>3365.13</v>
      </c>
    </row>
    <row r="7" spans="1:20" x14ac:dyDescent="0.35">
      <c r="A7" s="14">
        <v>42506</v>
      </c>
      <c r="B7" s="25"/>
      <c r="C7" s="25"/>
      <c r="D7" s="25"/>
      <c r="E7" s="25"/>
      <c r="F7" s="25"/>
      <c r="G7" s="25"/>
      <c r="H7" s="25"/>
      <c r="I7" s="25"/>
      <c r="J7" s="25">
        <v>299.88</v>
      </c>
      <c r="K7" s="25">
        <v>1316.03</v>
      </c>
      <c r="L7" s="25">
        <v>899.96</v>
      </c>
      <c r="M7" s="25">
        <v>2349.17</v>
      </c>
      <c r="N7" s="25">
        <v>3648</v>
      </c>
      <c r="O7" s="25">
        <v>1775.53</v>
      </c>
      <c r="P7" s="25">
        <v>931.78</v>
      </c>
      <c r="Q7" s="25">
        <v>68873.100000000006</v>
      </c>
      <c r="R7" s="25">
        <v>1676.39</v>
      </c>
      <c r="S7" s="25">
        <v>45563.11</v>
      </c>
      <c r="T7" s="25">
        <v>1343.9899999999998</v>
      </c>
    </row>
    <row r="8" spans="1:20" x14ac:dyDescent="0.35">
      <c r="A8" s="14">
        <v>42509</v>
      </c>
      <c r="B8" s="25"/>
      <c r="C8" s="25"/>
      <c r="D8" s="25"/>
      <c r="E8" s="25"/>
      <c r="F8" s="25"/>
      <c r="G8" s="25"/>
      <c r="H8" s="25"/>
      <c r="I8" s="25"/>
      <c r="J8" s="25">
        <v>3035.86</v>
      </c>
      <c r="K8" s="25">
        <v>624.42000000000007</v>
      </c>
      <c r="L8" s="25">
        <v>1628.77</v>
      </c>
      <c r="M8" s="25">
        <v>4299.78</v>
      </c>
      <c r="N8" s="25">
        <v>4276.41</v>
      </c>
      <c r="O8" s="25">
        <v>855.43999999999994</v>
      </c>
      <c r="P8" s="25">
        <v>62025.2</v>
      </c>
      <c r="Q8" s="25">
        <v>2128.98</v>
      </c>
      <c r="R8" s="25">
        <v>7486.48</v>
      </c>
      <c r="S8" s="25">
        <v>532.64</v>
      </c>
      <c r="T8" s="25">
        <v>9217.2700000000023</v>
      </c>
    </row>
    <row r="9" spans="1:20" x14ac:dyDescent="0.35">
      <c r="A9" s="14">
        <v>42511</v>
      </c>
      <c r="B9" s="25"/>
      <c r="C9" s="25"/>
      <c r="D9" s="25"/>
      <c r="E9" s="25"/>
      <c r="F9" s="25"/>
      <c r="G9" s="25"/>
      <c r="H9" s="25">
        <v>422.96</v>
      </c>
      <c r="I9" s="25">
        <v>214.78</v>
      </c>
      <c r="J9" s="25">
        <v>1345.61</v>
      </c>
      <c r="K9" s="25">
        <v>1361.8400000000001</v>
      </c>
      <c r="L9" s="25">
        <v>14807.38</v>
      </c>
      <c r="M9" s="25">
        <v>5008.71</v>
      </c>
      <c r="N9" s="25">
        <v>870.23</v>
      </c>
      <c r="O9" s="25">
        <v>645.06999999999994</v>
      </c>
      <c r="P9" s="25">
        <v>72591.94</v>
      </c>
      <c r="Q9" s="25">
        <v>4685.04</v>
      </c>
      <c r="R9" s="25">
        <v>1661.09</v>
      </c>
      <c r="S9" s="25">
        <v>2877.14</v>
      </c>
      <c r="T9" s="25">
        <v>9980.27</v>
      </c>
    </row>
    <row r="10" spans="1:20" x14ac:dyDescent="0.35">
      <c r="A10" s="14">
        <v>42524</v>
      </c>
      <c r="B10" s="25"/>
      <c r="C10" s="25"/>
      <c r="D10" s="25"/>
      <c r="E10" s="25"/>
      <c r="F10" s="25"/>
      <c r="G10" s="25"/>
      <c r="H10" s="25">
        <v>7523.8</v>
      </c>
      <c r="I10" s="25"/>
      <c r="J10" s="25">
        <v>117.83</v>
      </c>
      <c r="K10" s="25">
        <v>3112.93</v>
      </c>
      <c r="L10" s="25">
        <v>2110.6999999999998</v>
      </c>
      <c r="M10" s="25">
        <v>1818.3000000000002</v>
      </c>
      <c r="N10" s="25">
        <v>1874.08</v>
      </c>
      <c r="O10" s="25">
        <v>804.31000000000006</v>
      </c>
      <c r="P10" s="25">
        <v>4636.4999999999991</v>
      </c>
      <c r="Q10" s="25">
        <v>8539.4599999999991</v>
      </c>
      <c r="R10" s="25">
        <v>1047.3499999999999</v>
      </c>
      <c r="S10" s="25">
        <v>2804.56</v>
      </c>
      <c r="T10" s="25">
        <v>100029.37</v>
      </c>
    </row>
    <row r="11" spans="1:20" x14ac:dyDescent="0.35">
      <c r="A11" s="14">
        <v>42525</v>
      </c>
      <c r="B11" s="25"/>
      <c r="C11" s="25"/>
      <c r="D11" s="25"/>
      <c r="E11" s="25"/>
      <c r="F11" s="25"/>
      <c r="G11" s="25"/>
      <c r="H11" s="25"/>
      <c r="I11" s="25"/>
      <c r="J11" s="25">
        <v>1114.82</v>
      </c>
      <c r="K11" s="25">
        <v>2146.9700000000003</v>
      </c>
      <c r="L11" s="25">
        <v>6810.04</v>
      </c>
      <c r="M11" s="25"/>
      <c r="N11" s="25">
        <v>168488.06</v>
      </c>
      <c r="O11" s="25">
        <v>3612.16</v>
      </c>
      <c r="P11" s="25">
        <v>877.76</v>
      </c>
      <c r="Q11" s="25">
        <v>1577.3</v>
      </c>
      <c r="R11" s="25">
        <v>91401.76</v>
      </c>
      <c r="S11" s="25">
        <v>907.58</v>
      </c>
      <c r="T11" s="25">
        <v>978.06</v>
      </c>
    </row>
    <row r="12" spans="1:20" x14ac:dyDescent="0.35">
      <c r="A12" s="14">
        <v>42528</v>
      </c>
      <c r="B12" s="25"/>
      <c r="C12" s="25"/>
      <c r="D12" s="25"/>
      <c r="E12" s="25"/>
      <c r="F12" s="25"/>
      <c r="G12" s="25"/>
      <c r="H12" s="25"/>
      <c r="I12" s="25"/>
      <c r="J12" s="25">
        <v>10270.23</v>
      </c>
      <c r="K12" s="25">
        <v>2350.94</v>
      </c>
      <c r="L12" s="25">
        <v>1705.8400000000001</v>
      </c>
      <c r="M12" s="25">
        <v>4323.09</v>
      </c>
      <c r="N12" s="25">
        <v>5412.03</v>
      </c>
      <c r="O12" s="25">
        <v>1722.2600000000002</v>
      </c>
      <c r="P12" s="25">
        <v>2933.4</v>
      </c>
      <c r="Q12" s="25">
        <v>5461.4699999999993</v>
      </c>
      <c r="R12" s="25">
        <v>1354.6999999999998</v>
      </c>
      <c r="S12" s="25">
        <v>380.52</v>
      </c>
      <c r="T12" s="25">
        <v>289156.32000000007</v>
      </c>
    </row>
    <row r="13" spans="1:20" x14ac:dyDescent="0.35">
      <c r="A13" s="14">
        <v>42529</v>
      </c>
      <c r="B13" s="25"/>
      <c r="C13" s="25"/>
      <c r="D13" s="25"/>
      <c r="E13" s="25"/>
      <c r="F13" s="25"/>
      <c r="G13" s="25"/>
      <c r="H13" s="25"/>
      <c r="I13" s="25"/>
      <c r="J13" s="25">
        <v>6910.7300000000005</v>
      </c>
      <c r="K13" s="25">
        <v>3266.29</v>
      </c>
      <c r="L13" s="25">
        <v>1496.29</v>
      </c>
      <c r="M13" s="25">
        <v>2881.45</v>
      </c>
      <c r="N13" s="25">
        <v>6549.3</v>
      </c>
      <c r="O13" s="25">
        <v>910.25</v>
      </c>
      <c r="P13" s="25">
        <v>63474.7</v>
      </c>
      <c r="Q13" s="25">
        <v>2983.2</v>
      </c>
      <c r="R13" s="25">
        <v>19941.890000000003</v>
      </c>
      <c r="S13" s="25">
        <v>7136.91</v>
      </c>
      <c r="T13" s="25"/>
    </row>
    <row r="14" spans="1:20" x14ac:dyDescent="0.35">
      <c r="A14" s="14">
        <v>42534</v>
      </c>
      <c r="B14" s="25"/>
      <c r="C14" s="25"/>
      <c r="D14" s="25"/>
      <c r="E14" s="25"/>
      <c r="F14" s="25"/>
      <c r="G14" s="25"/>
      <c r="H14" s="25"/>
      <c r="I14" s="25"/>
      <c r="J14" s="25">
        <v>674.65</v>
      </c>
      <c r="K14" s="25">
        <v>1166.97</v>
      </c>
      <c r="L14" s="25">
        <v>1067.1099999999999</v>
      </c>
      <c r="M14" s="25">
        <v>1780.71</v>
      </c>
      <c r="N14" s="25">
        <v>1889.31</v>
      </c>
      <c r="O14" s="25">
        <v>1694.22</v>
      </c>
      <c r="P14" s="25">
        <v>1667.52</v>
      </c>
      <c r="Q14" s="25"/>
      <c r="R14" s="25">
        <v>3642.7799999999997</v>
      </c>
      <c r="S14" s="25">
        <v>10334.57</v>
      </c>
      <c r="T14" s="25"/>
    </row>
    <row r="15" spans="1:20" x14ac:dyDescent="0.35">
      <c r="A15" s="14">
        <v>42540</v>
      </c>
      <c r="B15" s="25"/>
      <c r="C15" s="25"/>
      <c r="D15" s="25"/>
      <c r="E15" s="25"/>
      <c r="F15" s="25"/>
      <c r="G15" s="25"/>
      <c r="H15" s="25"/>
      <c r="I15" s="25"/>
      <c r="J15" s="25">
        <v>3935.8500000000004</v>
      </c>
      <c r="K15" s="25">
        <v>3387.62</v>
      </c>
      <c r="L15" s="25">
        <v>588.53</v>
      </c>
      <c r="M15" s="25">
        <v>2570.46</v>
      </c>
      <c r="N15" s="25">
        <v>3920.6699999999996</v>
      </c>
      <c r="O15" s="25">
        <v>6257.69</v>
      </c>
      <c r="P15" s="25">
        <v>65032.65</v>
      </c>
      <c r="Q15" s="25">
        <v>6573.5</v>
      </c>
      <c r="R15" s="25">
        <v>1339.21</v>
      </c>
      <c r="S15" s="25">
        <v>3182.8</v>
      </c>
      <c r="T15" s="25">
        <v>1363.81</v>
      </c>
    </row>
    <row r="16" spans="1:20" x14ac:dyDescent="0.35">
      <c r="A16" s="14">
        <v>42542</v>
      </c>
      <c r="B16" s="25"/>
      <c r="C16" s="25"/>
      <c r="D16" s="25"/>
      <c r="E16" s="25"/>
      <c r="F16" s="25"/>
      <c r="G16" s="25"/>
      <c r="H16" s="25"/>
      <c r="I16" s="25"/>
      <c r="J16" s="25">
        <v>7369.98</v>
      </c>
      <c r="K16" s="25">
        <v>2607.63</v>
      </c>
      <c r="L16" s="25">
        <v>1394.12</v>
      </c>
      <c r="M16" s="25">
        <v>9680.0999999999985</v>
      </c>
      <c r="N16" s="25">
        <v>2889.71</v>
      </c>
      <c r="O16" s="25">
        <v>1325.8500000000001</v>
      </c>
      <c r="P16" s="25">
        <v>1473.72</v>
      </c>
      <c r="Q16" s="25">
        <v>1116.1300000000001</v>
      </c>
      <c r="R16" s="25">
        <v>83329.119999999995</v>
      </c>
      <c r="S16" s="25">
        <v>1565.71</v>
      </c>
      <c r="T16" s="25">
        <v>1870.17</v>
      </c>
    </row>
    <row r="17" spans="1:20" x14ac:dyDescent="0.35">
      <c r="A17" s="14">
        <v>42543</v>
      </c>
      <c r="B17" s="25"/>
      <c r="C17" s="25"/>
      <c r="D17" s="25"/>
      <c r="E17" s="25"/>
      <c r="F17" s="25"/>
      <c r="G17" s="25"/>
      <c r="H17" s="25"/>
      <c r="I17" s="25"/>
      <c r="J17" s="25">
        <v>998.18</v>
      </c>
      <c r="K17" s="25">
        <v>4236.8600000000006</v>
      </c>
      <c r="L17" s="25">
        <v>1692.37</v>
      </c>
      <c r="M17" s="25">
        <v>1243.2</v>
      </c>
      <c r="N17" s="25">
        <v>2550.41</v>
      </c>
      <c r="O17" s="25">
        <v>4745.1400000000003</v>
      </c>
      <c r="P17" s="25">
        <v>1710.13</v>
      </c>
      <c r="Q17" s="25">
        <v>6046.08</v>
      </c>
      <c r="R17" s="25">
        <v>2537.27</v>
      </c>
      <c r="S17" s="25">
        <v>2479.0200000000004</v>
      </c>
      <c r="T17" s="25"/>
    </row>
    <row r="18" spans="1:20" x14ac:dyDescent="0.35">
      <c r="A18" s="14">
        <v>42659</v>
      </c>
      <c r="B18" s="25"/>
      <c r="C18" s="25"/>
      <c r="D18" s="25"/>
      <c r="E18" s="25"/>
      <c r="F18" s="25"/>
      <c r="G18" s="25"/>
      <c r="H18" s="25"/>
      <c r="I18" s="25"/>
      <c r="J18" s="25">
        <v>36</v>
      </c>
      <c r="K18" s="25">
        <v>735.68000000000006</v>
      </c>
      <c r="L18" s="25">
        <v>3796.3100000000004</v>
      </c>
      <c r="M18" s="25">
        <v>3598.2000000000007</v>
      </c>
      <c r="N18" s="25">
        <v>1259.6199999999999</v>
      </c>
      <c r="O18" s="25">
        <v>644.46</v>
      </c>
      <c r="P18" s="25">
        <v>62025.2</v>
      </c>
      <c r="Q18" s="25"/>
      <c r="R18" s="25">
        <v>25008.149999999998</v>
      </c>
      <c r="S18" s="25">
        <v>43.68</v>
      </c>
      <c r="T18" s="25"/>
    </row>
    <row r="19" spans="1:20" x14ac:dyDescent="0.35">
      <c r="A19" s="14">
        <v>42672</v>
      </c>
      <c r="B19" s="25"/>
      <c r="C19" s="25"/>
      <c r="D19" s="25"/>
      <c r="E19" s="25"/>
      <c r="F19" s="25"/>
      <c r="G19" s="25"/>
      <c r="H19" s="25"/>
      <c r="I19" s="25"/>
      <c r="J19" s="25">
        <v>2583.54</v>
      </c>
      <c r="K19" s="25">
        <v>2816.48</v>
      </c>
      <c r="L19" s="25">
        <v>147.16</v>
      </c>
      <c r="M19" s="25">
        <v>1513.05</v>
      </c>
      <c r="N19" s="25">
        <v>6023.24</v>
      </c>
      <c r="O19" s="25">
        <v>4279.79</v>
      </c>
      <c r="P19" s="25">
        <v>848.22</v>
      </c>
      <c r="Q19" s="25">
        <v>1964.79</v>
      </c>
      <c r="R19" s="25">
        <v>92111</v>
      </c>
      <c r="S19" s="25"/>
      <c r="T19" s="25">
        <v>1398.41</v>
      </c>
    </row>
    <row r="20" spans="1:20" x14ac:dyDescent="0.35">
      <c r="A20" s="14">
        <v>42675</v>
      </c>
      <c r="B20" s="25"/>
      <c r="C20" s="25"/>
      <c r="D20" s="25"/>
      <c r="E20" s="25"/>
      <c r="F20" s="25"/>
      <c r="G20" s="25"/>
      <c r="H20" s="25"/>
      <c r="I20" s="25">
        <v>1200</v>
      </c>
      <c r="J20" s="25">
        <v>1710.72</v>
      </c>
      <c r="K20" s="25">
        <v>10720.2</v>
      </c>
      <c r="L20" s="25"/>
      <c r="M20" s="25">
        <v>3464.29</v>
      </c>
      <c r="N20" s="25">
        <v>3489.3</v>
      </c>
      <c r="O20" s="25">
        <v>9105</v>
      </c>
      <c r="P20" s="25">
        <v>63436.35</v>
      </c>
      <c r="Q20" s="25"/>
      <c r="R20" s="25">
        <v>37850.080000000002</v>
      </c>
      <c r="S20" s="25">
        <v>2561.2600000000002</v>
      </c>
      <c r="T20" s="25">
        <v>3207.2400000000002</v>
      </c>
    </row>
    <row r="21" spans="1:20" x14ac:dyDescent="0.35">
      <c r="A21" s="14">
        <v>42679</v>
      </c>
      <c r="B21" s="25"/>
      <c r="C21" s="25"/>
      <c r="D21" s="25"/>
      <c r="E21" s="25"/>
      <c r="F21" s="25"/>
      <c r="G21" s="25"/>
      <c r="H21" s="25"/>
      <c r="I21" s="25"/>
      <c r="J21" s="25">
        <v>4319.9799999999996</v>
      </c>
      <c r="K21" s="25">
        <v>5257.87</v>
      </c>
      <c r="L21" s="25">
        <v>3992.08</v>
      </c>
      <c r="M21" s="25">
        <v>1642.98</v>
      </c>
      <c r="N21" s="25">
        <v>826.6</v>
      </c>
      <c r="O21" s="25">
        <v>779.52</v>
      </c>
      <c r="P21" s="25">
        <v>6487.46</v>
      </c>
      <c r="Q21" s="25">
        <v>2763.0899999999997</v>
      </c>
      <c r="R21" s="25">
        <v>1175.0900000000001</v>
      </c>
      <c r="S21" s="25">
        <v>7346.49</v>
      </c>
      <c r="T21" s="25">
        <v>1360.2800000000002</v>
      </c>
    </row>
    <row r="22" spans="1:20" x14ac:dyDescent="0.35">
      <c r="A22" s="14">
        <v>42682</v>
      </c>
      <c r="B22" s="25"/>
      <c r="C22" s="25"/>
      <c r="D22" s="25"/>
      <c r="E22" s="25"/>
      <c r="F22" s="25"/>
      <c r="G22" s="25"/>
      <c r="H22" s="25"/>
      <c r="I22" s="25"/>
      <c r="J22" s="25">
        <v>8989.2000000000007</v>
      </c>
      <c r="K22" s="25">
        <v>1588.65</v>
      </c>
      <c r="L22" s="25">
        <v>1729.78</v>
      </c>
      <c r="M22" s="25">
        <v>2936.52</v>
      </c>
      <c r="N22" s="25">
        <v>2044.8899999999999</v>
      </c>
      <c r="O22" s="25">
        <v>335.53999999999996</v>
      </c>
      <c r="P22" s="25">
        <v>4903.6799999999994</v>
      </c>
      <c r="Q22" s="25">
        <v>1592.1499999999999</v>
      </c>
      <c r="R22" s="25">
        <v>104673.40000000001</v>
      </c>
      <c r="S22" s="25">
        <v>6776.45</v>
      </c>
      <c r="T22" s="25">
        <v>3201.2700000000004</v>
      </c>
    </row>
    <row r="23" spans="1:20" x14ac:dyDescent="0.35">
      <c r="A23" s="14">
        <v>42683</v>
      </c>
      <c r="B23" s="25"/>
      <c r="C23" s="25"/>
      <c r="D23" s="25"/>
      <c r="E23" s="25"/>
      <c r="F23" s="25"/>
      <c r="G23" s="25"/>
      <c r="H23" s="25"/>
      <c r="I23" s="25"/>
      <c r="J23" s="25">
        <v>1900.76</v>
      </c>
      <c r="K23" s="25">
        <v>3452.54</v>
      </c>
      <c r="L23" s="25">
        <v>3894.46</v>
      </c>
      <c r="M23" s="25">
        <v>6707.96</v>
      </c>
      <c r="N23" s="25">
        <v>5321.09</v>
      </c>
      <c r="O23" s="25">
        <v>374.95</v>
      </c>
      <c r="P23" s="25">
        <v>92384</v>
      </c>
      <c r="Q23" s="25"/>
      <c r="R23" s="25">
        <v>2683.6800000000003</v>
      </c>
      <c r="S23" s="25"/>
      <c r="T23" s="25">
        <v>3711.09</v>
      </c>
    </row>
    <row r="24" spans="1:20" x14ac:dyDescent="0.35">
      <c r="A24" s="14">
        <v>42684</v>
      </c>
      <c r="B24" s="25"/>
      <c r="C24" s="25"/>
      <c r="D24" s="25"/>
      <c r="E24" s="25"/>
      <c r="F24" s="25"/>
      <c r="G24" s="25"/>
      <c r="H24" s="25"/>
      <c r="I24" s="25">
        <v>600</v>
      </c>
      <c r="J24" s="25">
        <v>1101.19</v>
      </c>
      <c r="K24" s="25">
        <v>2488.89</v>
      </c>
      <c r="L24" s="25">
        <v>2098.54</v>
      </c>
      <c r="M24" s="25">
        <v>644.17999999999995</v>
      </c>
      <c r="N24" s="25">
        <v>2986.46</v>
      </c>
      <c r="O24" s="25">
        <v>2722.0299999999997</v>
      </c>
      <c r="P24" s="25">
        <v>1144.8699999999999</v>
      </c>
      <c r="Q24" s="25">
        <v>62777.87</v>
      </c>
      <c r="R24" s="25">
        <v>1590.07</v>
      </c>
      <c r="S24" s="25"/>
      <c r="T24" s="25"/>
    </row>
    <row r="25" spans="1:20" x14ac:dyDescent="0.35">
      <c r="A25" s="14">
        <v>42685</v>
      </c>
      <c r="B25" s="25"/>
      <c r="C25" s="25"/>
      <c r="D25" s="25"/>
      <c r="E25" s="25"/>
      <c r="F25" s="25"/>
      <c r="G25" s="25"/>
      <c r="H25" s="25"/>
      <c r="I25" s="25"/>
      <c r="J25" s="25">
        <v>13932.48</v>
      </c>
      <c r="K25" s="25">
        <v>6126.01</v>
      </c>
      <c r="L25" s="25">
        <v>7618.6399999999994</v>
      </c>
      <c r="M25" s="25">
        <v>6538.26</v>
      </c>
      <c r="N25" s="25">
        <v>9493.380000000001</v>
      </c>
      <c r="O25" s="25">
        <v>2379.5400000000004</v>
      </c>
      <c r="P25" s="25">
        <v>13608.259999999998</v>
      </c>
      <c r="Q25" s="25">
        <v>1449.18</v>
      </c>
      <c r="R25" s="25">
        <v>13833.18</v>
      </c>
      <c r="S25" s="25">
        <v>122765.79000000001</v>
      </c>
      <c r="T25" s="25">
        <v>5863.9</v>
      </c>
    </row>
    <row r="26" spans="1:20" x14ac:dyDescent="0.35">
      <c r="A26" s="14">
        <v>42849</v>
      </c>
      <c r="B26" s="25"/>
      <c r="C26" s="25"/>
      <c r="D26" s="25"/>
      <c r="E26" s="25"/>
      <c r="F26" s="25"/>
      <c r="G26" s="25"/>
      <c r="H26" s="25"/>
      <c r="I26" s="25"/>
      <c r="J26" s="25">
        <v>20768.39</v>
      </c>
      <c r="K26" s="25">
        <v>2039.84</v>
      </c>
      <c r="L26" s="25">
        <v>2406.58</v>
      </c>
      <c r="M26" s="25">
        <v>24249.18</v>
      </c>
      <c r="N26" s="25">
        <v>9874.48</v>
      </c>
      <c r="O26" s="25">
        <v>6073.88</v>
      </c>
      <c r="P26" s="25">
        <v>3862.5</v>
      </c>
      <c r="Q26" s="25">
        <v>358829.94</v>
      </c>
      <c r="R26" s="25">
        <v>9314.06</v>
      </c>
      <c r="S26" s="25">
        <v>12115.83</v>
      </c>
      <c r="T26" s="25">
        <v>8764.9599999999991</v>
      </c>
    </row>
    <row r="27" spans="1:20" x14ac:dyDescent="0.35">
      <c r="A27" s="14">
        <v>42850</v>
      </c>
      <c r="B27" s="25"/>
      <c r="C27" s="25"/>
      <c r="D27" s="25"/>
      <c r="E27" s="25"/>
      <c r="F27" s="25"/>
      <c r="G27" s="25"/>
      <c r="H27" s="25"/>
      <c r="I27" s="25"/>
      <c r="J27" s="25">
        <v>7230.0199999999995</v>
      </c>
      <c r="K27" s="25">
        <v>16181.02</v>
      </c>
      <c r="L27" s="25">
        <v>1160.52</v>
      </c>
      <c r="M27" s="25">
        <v>12122.669999999998</v>
      </c>
      <c r="N27" s="25">
        <v>11809.259999999998</v>
      </c>
      <c r="O27" s="25">
        <v>8633.94</v>
      </c>
      <c r="P27" s="25">
        <v>6603.26</v>
      </c>
      <c r="Q27" s="25">
        <v>202312.49</v>
      </c>
      <c r="R27" s="25">
        <v>55207.039999999994</v>
      </c>
      <c r="S27" s="25">
        <v>12543.460000000001</v>
      </c>
      <c r="T27" s="25">
        <v>9714.91</v>
      </c>
    </row>
    <row r="28" spans="1:20" x14ac:dyDescent="0.35">
      <c r="A28" s="14">
        <v>42853</v>
      </c>
      <c r="B28" s="25"/>
      <c r="C28" s="25"/>
      <c r="D28" s="25"/>
      <c r="E28" s="25"/>
      <c r="F28" s="25"/>
      <c r="G28" s="25"/>
      <c r="H28" s="25"/>
      <c r="I28" s="25"/>
      <c r="J28" s="25">
        <v>4723.2</v>
      </c>
      <c r="K28" s="25">
        <v>6051.5199999999995</v>
      </c>
      <c r="L28" s="25">
        <v>6695.3899999999994</v>
      </c>
      <c r="M28" s="25">
        <v>5988</v>
      </c>
      <c r="N28" s="25">
        <v>7742.05</v>
      </c>
      <c r="O28" s="25">
        <v>6410.84</v>
      </c>
      <c r="P28" s="25">
        <v>2326.13</v>
      </c>
      <c r="Q28" s="25">
        <v>150995.26999999999</v>
      </c>
      <c r="R28" s="25">
        <v>10729.829999999998</v>
      </c>
      <c r="S28" s="25">
        <v>9030.7000000000007</v>
      </c>
      <c r="T28" s="25">
        <v>24786.249999999996</v>
      </c>
    </row>
    <row r="29" spans="1:20" x14ac:dyDescent="0.35">
      <c r="A29" s="14">
        <v>42859</v>
      </c>
      <c r="B29" s="25"/>
      <c r="C29" s="25"/>
      <c r="D29" s="25"/>
      <c r="E29" s="25"/>
      <c r="F29" s="25"/>
      <c r="G29" s="25"/>
      <c r="H29" s="25"/>
      <c r="I29" s="25"/>
      <c r="J29" s="25">
        <v>2394.7199999999998</v>
      </c>
      <c r="K29" s="25">
        <v>6466.6299999999992</v>
      </c>
      <c r="L29" s="25">
        <v>11129.48</v>
      </c>
      <c r="M29" s="25">
        <v>7719.91</v>
      </c>
      <c r="N29" s="25">
        <v>6593.33</v>
      </c>
      <c r="O29" s="25">
        <v>5543.88</v>
      </c>
      <c r="P29" s="25">
        <v>6496.13</v>
      </c>
      <c r="Q29" s="25">
        <v>133748.78999999995</v>
      </c>
      <c r="R29" s="25">
        <v>23379.21</v>
      </c>
      <c r="S29" s="25">
        <v>14491.979999999998</v>
      </c>
      <c r="T29" s="25">
        <v>21012.06</v>
      </c>
    </row>
    <row r="30" spans="1:20" x14ac:dyDescent="0.35">
      <c r="A30" s="14">
        <v>42860</v>
      </c>
      <c r="B30" s="25"/>
      <c r="C30" s="25"/>
      <c r="D30" s="25"/>
      <c r="E30" s="25"/>
      <c r="F30" s="25"/>
      <c r="G30" s="25"/>
      <c r="H30" s="25"/>
      <c r="I30" s="25"/>
      <c r="J30" s="25"/>
      <c r="K30" s="25">
        <v>1278.18</v>
      </c>
      <c r="L30" s="25">
        <v>1179.32</v>
      </c>
      <c r="M30" s="25">
        <v>7212.6</v>
      </c>
      <c r="N30" s="25">
        <v>4932.6000000000004</v>
      </c>
      <c r="O30" s="25">
        <v>11119.369999999999</v>
      </c>
      <c r="P30" s="25">
        <v>14681.04</v>
      </c>
      <c r="Q30" s="25">
        <v>136057.12</v>
      </c>
      <c r="R30" s="25">
        <v>12162.03</v>
      </c>
      <c r="S30" s="25">
        <v>7546</v>
      </c>
      <c r="T30" s="25">
        <v>8545.5499999999993</v>
      </c>
    </row>
    <row r="31" spans="1:20" x14ac:dyDescent="0.35">
      <c r="A31" s="14">
        <v>44133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v>304.32</v>
      </c>
      <c r="L31" s="25">
        <v>2859.28</v>
      </c>
      <c r="M31" s="25">
        <v>2912.29</v>
      </c>
      <c r="N31" s="25">
        <v>1105.03</v>
      </c>
      <c r="O31" s="25">
        <v>1078.21</v>
      </c>
      <c r="P31" s="25">
        <v>1624.1</v>
      </c>
      <c r="Q31" s="25">
        <v>1414.77</v>
      </c>
      <c r="R31" s="25">
        <v>6005.9500000000007</v>
      </c>
      <c r="S31" s="25">
        <v>518.39</v>
      </c>
      <c r="T31" s="25"/>
    </row>
    <row r="32" spans="1:20" x14ac:dyDescent="0.35">
      <c r="A32" s="14">
        <v>44134</v>
      </c>
      <c r="B32" s="25"/>
      <c r="C32" s="25"/>
      <c r="D32" s="25"/>
      <c r="E32" s="25"/>
      <c r="F32" s="25"/>
      <c r="G32" s="25"/>
      <c r="H32" s="25"/>
      <c r="I32" s="25"/>
      <c r="J32" s="25">
        <v>6895.630000000001</v>
      </c>
      <c r="K32" s="25">
        <v>92976</v>
      </c>
      <c r="L32" s="25">
        <v>1968.15</v>
      </c>
      <c r="M32" s="25">
        <v>6797.22</v>
      </c>
      <c r="N32" s="25">
        <v>545.77</v>
      </c>
      <c r="O32" s="25">
        <v>9574.630000000001</v>
      </c>
      <c r="P32" s="25">
        <v>48569.47</v>
      </c>
      <c r="Q32" s="25">
        <v>3600.2000000000003</v>
      </c>
      <c r="R32" s="25">
        <v>793.36</v>
      </c>
      <c r="S32" s="25">
        <v>4950.92</v>
      </c>
      <c r="T32" s="25">
        <v>3554.23</v>
      </c>
    </row>
    <row r="33" spans="1:20" x14ac:dyDescent="0.35">
      <c r="A33" s="14">
        <v>44140</v>
      </c>
      <c r="B33" s="25"/>
      <c r="C33" s="25"/>
      <c r="D33" s="25"/>
      <c r="E33" s="25"/>
      <c r="F33" s="25"/>
      <c r="G33" s="25"/>
      <c r="H33" s="25"/>
      <c r="I33" s="25"/>
      <c r="J33" s="25">
        <v>90.72</v>
      </c>
      <c r="K33" s="25">
        <v>1260.7</v>
      </c>
      <c r="L33" s="25">
        <v>1883.67</v>
      </c>
      <c r="M33" s="25">
        <v>1133.57</v>
      </c>
      <c r="N33" s="25">
        <v>1845.35</v>
      </c>
      <c r="O33" s="25">
        <v>1442.74</v>
      </c>
      <c r="P33" s="25">
        <v>1676.0900000000001</v>
      </c>
      <c r="Q33" s="25">
        <v>2417.48</v>
      </c>
      <c r="R33" s="25">
        <v>1295.1699999999998</v>
      </c>
      <c r="S33" s="25">
        <v>2540.91</v>
      </c>
      <c r="T33" s="25">
        <v>410.98</v>
      </c>
    </row>
    <row r="34" spans="1:20" x14ac:dyDescent="0.35">
      <c r="A34" s="14">
        <v>44145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v>1341.01</v>
      </c>
      <c r="L34" s="25">
        <v>1408.96</v>
      </c>
      <c r="M34" s="25">
        <v>3864.92</v>
      </c>
      <c r="N34" s="25">
        <v>56068.549999999996</v>
      </c>
      <c r="O34" s="25">
        <v>8114.46</v>
      </c>
      <c r="P34" s="25">
        <v>1688.51</v>
      </c>
      <c r="Q34" s="25">
        <v>3770.7400000000002</v>
      </c>
      <c r="R34" s="25">
        <v>2009.19</v>
      </c>
      <c r="S34" s="25">
        <v>2322.96</v>
      </c>
      <c r="T34" s="25">
        <v>1695.85</v>
      </c>
    </row>
    <row r="35" spans="1:20" x14ac:dyDescent="0.35">
      <c r="A35" s="14">
        <v>60004</v>
      </c>
      <c r="B35" s="25"/>
      <c r="C35" s="25"/>
      <c r="D35" s="25"/>
      <c r="E35" s="25"/>
      <c r="F35" s="25"/>
      <c r="G35" s="25">
        <v>2306.3100000000004</v>
      </c>
      <c r="H35" s="25">
        <v>205.18</v>
      </c>
      <c r="I35" s="25"/>
      <c r="J35" s="25">
        <v>46532.110000000008</v>
      </c>
      <c r="K35" s="25">
        <v>103.32000000000001</v>
      </c>
      <c r="L35" s="25">
        <v>276.90999999999997</v>
      </c>
      <c r="M35" s="25">
        <v>595.76</v>
      </c>
      <c r="N35" s="25">
        <v>1241.6400000000001</v>
      </c>
      <c r="O35" s="25">
        <v>919.69</v>
      </c>
      <c r="P35" s="25">
        <v>1532.52</v>
      </c>
      <c r="Q35" s="25">
        <v>2052.3599999999997</v>
      </c>
      <c r="R35" s="25">
        <v>2285.8200000000002</v>
      </c>
      <c r="S35" s="25">
        <v>735.3</v>
      </c>
      <c r="T35" s="25">
        <v>730.63</v>
      </c>
    </row>
    <row r="36" spans="1:20" x14ac:dyDescent="0.35">
      <c r="A36" s="14">
        <v>60452</v>
      </c>
      <c r="B36" s="25"/>
      <c r="C36" s="25"/>
      <c r="D36" s="25"/>
      <c r="E36" s="25"/>
      <c r="F36" s="25"/>
      <c r="G36" s="25"/>
      <c r="H36" s="25"/>
      <c r="I36" s="25"/>
      <c r="J36" s="25">
        <v>5127.72</v>
      </c>
      <c r="K36" s="25">
        <v>4732.2700000000004</v>
      </c>
      <c r="L36" s="25">
        <v>1794.54</v>
      </c>
      <c r="M36" s="25">
        <v>882.33</v>
      </c>
      <c r="N36" s="25">
        <v>2423.44</v>
      </c>
      <c r="O36" s="25">
        <v>3110.23</v>
      </c>
      <c r="P36" s="25">
        <v>895.1400000000001</v>
      </c>
      <c r="Q36" s="25">
        <v>3286.2300000000005</v>
      </c>
      <c r="R36" s="25">
        <v>2364.77</v>
      </c>
      <c r="S36" s="25">
        <v>4139.3899999999994</v>
      </c>
      <c r="T36" s="25">
        <v>2776.7</v>
      </c>
    </row>
    <row r="37" spans="1:20" x14ac:dyDescent="0.35">
      <c r="A37" s="14">
        <v>60500</v>
      </c>
      <c r="B37" s="25"/>
      <c r="C37" s="25"/>
      <c r="D37" s="25"/>
      <c r="E37" s="25"/>
      <c r="F37" s="25"/>
      <c r="G37" s="25"/>
      <c r="H37" s="25"/>
      <c r="I37" s="25"/>
      <c r="J37" s="25">
        <v>243.47</v>
      </c>
      <c r="K37" s="25">
        <v>1397.13</v>
      </c>
      <c r="L37" s="25">
        <v>1369.76</v>
      </c>
      <c r="M37" s="25">
        <v>175.02</v>
      </c>
      <c r="N37" s="25">
        <v>1644.84</v>
      </c>
      <c r="O37" s="25">
        <v>734.04</v>
      </c>
      <c r="P37" s="25">
        <v>17929.939999999999</v>
      </c>
      <c r="Q37" s="25">
        <v>10472.26</v>
      </c>
      <c r="R37" s="25">
        <v>3562.12</v>
      </c>
      <c r="S37" s="25">
        <v>2457.92</v>
      </c>
      <c r="T37" s="25">
        <v>4374.25</v>
      </c>
    </row>
    <row r="38" spans="1:20" x14ac:dyDescent="0.35">
      <c r="A38" s="14">
        <v>60517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358.44000000000005</v>
      </c>
      <c r="L38" s="25">
        <v>1056.78</v>
      </c>
      <c r="M38" s="25">
        <v>6433.09</v>
      </c>
      <c r="N38" s="25">
        <v>9944.86</v>
      </c>
      <c r="O38" s="25">
        <v>1940.48</v>
      </c>
      <c r="P38" s="25">
        <v>2115.3199999999997</v>
      </c>
      <c r="Q38" s="25">
        <v>126</v>
      </c>
      <c r="R38" s="25">
        <v>8891.09</v>
      </c>
      <c r="S38" s="25">
        <v>1571.12</v>
      </c>
      <c r="T38" s="25"/>
    </row>
    <row r="39" spans="1:20" x14ac:dyDescent="0.35">
      <c r="A39" s="14">
        <v>60527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>
        <v>862.84</v>
      </c>
      <c r="M39" s="25">
        <v>175.02</v>
      </c>
      <c r="N39" s="25">
        <v>3073.8900000000003</v>
      </c>
      <c r="O39" s="25">
        <v>1340.96</v>
      </c>
      <c r="P39" s="25">
        <v>3309.61</v>
      </c>
      <c r="Q39" s="25">
        <v>3549.02</v>
      </c>
      <c r="R39" s="25">
        <v>7412.78</v>
      </c>
      <c r="S39" s="25">
        <v>15458.11</v>
      </c>
      <c r="T39" s="25">
        <v>1774.27</v>
      </c>
    </row>
    <row r="40" spans="1:20" x14ac:dyDescent="0.35">
      <c r="A40" s="14">
        <v>60532</v>
      </c>
      <c r="B40" s="25"/>
      <c r="C40" s="25"/>
      <c r="D40" s="25"/>
      <c r="E40" s="25"/>
      <c r="F40" s="25"/>
      <c r="G40" s="25"/>
      <c r="H40" s="25"/>
      <c r="I40" s="25"/>
      <c r="J40" s="25">
        <v>189</v>
      </c>
      <c r="K40" s="25"/>
      <c r="L40" s="25">
        <v>4411.3</v>
      </c>
      <c r="M40" s="25">
        <v>2740.05</v>
      </c>
      <c r="N40" s="25">
        <v>146.16</v>
      </c>
      <c r="O40" s="25">
        <v>11278.189999999999</v>
      </c>
      <c r="P40" s="25">
        <v>2626.37</v>
      </c>
      <c r="Q40" s="25">
        <v>251.59</v>
      </c>
      <c r="R40" s="25">
        <v>1476.3999999999999</v>
      </c>
      <c r="S40" s="25">
        <v>6217.1100000000006</v>
      </c>
      <c r="T40" s="25">
        <v>2834.3100000000004</v>
      </c>
    </row>
    <row r="41" spans="1:20" x14ac:dyDescent="0.35">
      <c r="A41" s="14">
        <v>60578</v>
      </c>
      <c r="B41" s="25"/>
      <c r="C41" s="25"/>
      <c r="D41" s="25"/>
      <c r="E41" s="25"/>
      <c r="F41" s="25"/>
      <c r="G41" s="25"/>
      <c r="H41" s="25"/>
      <c r="I41" s="25"/>
      <c r="J41" s="25">
        <v>468.49</v>
      </c>
      <c r="K41" s="25"/>
      <c r="L41" s="25">
        <v>2664.9300000000003</v>
      </c>
      <c r="M41" s="25">
        <v>642.48</v>
      </c>
      <c r="N41" s="25">
        <v>235.62</v>
      </c>
      <c r="O41" s="25">
        <v>126</v>
      </c>
      <c r="P41" s="25">
        <v>2230.0700000000002</v>
      </c>
      <c r="Q41" s="25">
        <v>144.9</v>
      </c>
      <c r="R41" s="25">
        <v>16262.16</v>
      </c>
      <c r="S41" s="25">
        <v>15404.349999999999</v>
      </c>
      <c r="T41" s="25">
        <v>592.19999999999993</v>
      </c>
    </row>
    <row r="42" spans="1:20" x14ac:dyDescent="0.35">
      <c r="A42" s="14">
        <v>60646</v>
      </c>
      <c r="B42" s="25"/>
      <c r="C42" s="25"/>
      <c r="D42" s="25"/>
      <c r="E42" s="25"/>
      <c r="F42" s="25"/>
      <c r="G42" s="25"/>
      <c r="H42" s="25"/>
      <c r="I42" s="25"/>
      <c r="J42" s="25">
        <v>36</v>
      </c>
      <c r="K42" s="25">
        <v>2311.94</v>
      </c>
      <c r="L42" s="25">
        <v>316.32</v>
      </c>
      <c r="M42" s="25">
        <v>35.880000000000003</v>
      </c>
      <c r="N42" s="25">
        <v>2072.7799999999997</v>
      </c>
      <c r="O42" s="25">
        <v>27126.22</v>
      </c>
      <c r="P42" s="25">
        <v>7711.2</v>
      </c>
      <c r="Q42" s="25">
        <v>6899.84</v>
      </c>
      <c r="R42" s="25">
        <v>3493.72</v>
      </c>
      <c r="S42" s="25">
        <v>1549.34</v>
      </c>
      <c r="T42" s="25">
        <v>5666.4100000000008</v>
      </c>
    </row>
    <row r="43" spans="1:20" x14ac:dyDescent="0.35">
      <c r="A43" s="14">
        <v>60687</v>
      </c>
      <c r="B43" s="25"/>
      <c r="C43" s="25"/>
      <c r="D43" s="25"/>
      <c r="E43" s="25"/>
      <c r="F43" s="25"/>
      <c r="G43" s="25"/>
      <c r="H43" s="25"/>
      <c r="I43" s="25"/>
      <c r="J43" s="25">
        <v>1048.3800000000001</v>
      </c>
      <c r="K43" s="25">
        <v>997.91</v>
      </c>
      <c r="L43" s="25">
        <v>198.42</v>
      </c>
      <c r="M43" s="25">
        <v>198.42</v>
      </c>
      <c r="N43" s="25">
        <v>2829.2</v>
      </c>
      <c r="O43" s="25">
        <v>15954.04</v>
      </c>
      <c r="P43" s="25">
        <v>13106.580000000002</v>
      </c>
      <c r="Q43" s="25">
        <v>1433.04</v>
      </c>
      <c r="R43" s="25">
        <v>2528.61</v>
      </c>
      <c r="S43" s="25">
        <v>382.92</v>
      </c>
      <c r="T43" s="25">
        <v>13601.34</v>
      </c>
    </row>
    <row r="44" spans="1:20" x14ac:dyDescent="0.35">
      <c r="A44" s="14">
        <v>60693</v>
      </c>
      <c r="B44" s="25"/>
      <c r="C44" s="25"/>
      <c r="D44" s="25"/>
      <c r="E44" s="25"/>
      <c r="F44" s="25"/>
      <c r="G44" s="25"/>
      <c r="H44" s="25"/>
      <c r="I44" s="25"/>
      <c r="J44" s="25">
        <v>67145.2</v>
      </c>
      <c r="K44" s="25">
        <v>11653.460000000001</v>
      </c>
      <c r="L44" s="25">
        <v>7796.28</v>
      </c>
      <c r="M44" s="25">
        <v>5723.88</v>
      </c>
      <c r="N44" s="25">
        <v>4655.88</v>
      </c>
      <c r="O44" s="25">
        <v>5850.55</v>
      </c>
      <c r="P44" s="25">
        <v>6617.05</v>
      </c>
      <c r="Q44" s="25">
        <v>16354.7</v>
      </c>
      <c r="R44" s="25">
        <v>21028.58</v>
      </c>
      <c r="S44" s="25">
        <v>6045.7</v>
      </c>
      <c r="T44" s="25"/>
    </row>
    <row r="45" spans="1:20" x14ac:dyDescent="0.35">
      <c r="A45" s="14">
        <v>60715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>
        <v>4785.3599999999997</v>
      </c>
      <c r="M45" s="25">
        <v>2039.94</v>
      </c>
      <c r="N45" s="25">
        <v>5204.16</v>
      </c>
      <c r="O45" s="25">
        <v>2972.34</v>
      </c>
      <c r="P45" s="25">
        <v>11278.130000000001</v>
      </c>
      <c r="Q45" s="25">
        <v>1878.3400000000001</v>
      </c>
      <c r="R45" s="25">
        <v>2766.4</v>
      </c>
      <c r="S45" s="25">
        <v>1383.02</v>
      </c>
      <c r="T45" s="25">
        <v>1236.82</v>
      </c>
    </row>
    <row r="46" spans="1:20" x14ac:dyDescent="0.35">
      <c r="A46" s="14">
        <v>60903</v>
      </c>
      <c r="B46" s="21">
        <v>335.65000000000003</v>
      </c>
      <c r="C46" s="21">
        <v>341.53</v>
      </c>
      <c r="D46" s="25"/>
      <c r="E46" s="25"/>
      <c r="F46" s="25"/>
      <c r="G46" s="25"/>
      <c r="H46" s="25">
        <v>440.78</v>
      </c>
      <c r="I46" s="25">
        <v>164.4</v>
      </c>
      <c r="J46" s="25">
        <v>2868.73</v>
      </c>
      <c r="K46" s="25">
        <v>4136.17</v>
      </c>
      <c r="L46" s="25">
        <v>13327.2</v>
      </c>
      <c r="M46" s="25">
        <v>1402.6799999999998</v>
      </c>
      <c r="N46" s="25">
        <v>1262.6599999999999</v>
      </c>
      <c r="O46" s="25">
        <v>914.65999999999985</v>
      </c>
      <c r="P46" s="25">
        <v>1133.03</v>
      </c>
      <c r="Q46" s="25">
        <v>2756.6000000000004</v>
      </c>
      <c r="R46" s="25">
        <v>2657.3900000000003</v>
      </c>
      <c r="S46" s="25">
        <v>6015.8</v>
      </c>
      <c r="T46" s="25">
        <v>2169.4499999999998</v>
      </c>
    </row>
    <row r="47" spans="1:20" x14ac:dyDescent="0.35">
      <c r="A47" s="14">
        <v>61018</v>
      </c>
      <c r="B47" s="25"/>
      <c r="C47" s="25"/>
      <c r="D47" s="25"/>
      <c r="E47" s="25"/>
      <c r="F47" s="25"/>
      <c r="G47" s="25"/>
      <c r="H47" s="25"/>
      <c r="I47" s="25"/>
      <c r="J47" s="25">
        <v>423.36</v>
      </c>
      <c r="K47" s="25">
        <v>2869.57</v>
      </c>
      <c r="L47" s="25">
        <v>300.01</v>
      </c>
      <c r="M47" s="25">
        <v>3403.84</v>
      </c>
      <c r="N47" s="25">
        <v>5465.68</v>
      </c>
      <c r="O47" s="25">
        <v>262.92</v>
      </c>
      <c r="P47" s="25"/>
      <c r="Q47" s="25">
        <v>12729.710000000001</v>
      </c>
      <c r="R47" s="25">
        <v>5984.4</v>
      </c>
      <c r="S47" s="25">
        <v>28135.96</v>
      </c>
      <c r="T47" s="25"/>
    </row>
    <row r="48" spans="1:20" x14ac:dyDescent="0.35">
      <c r="A48" s="14">
        <v>61311</v>
      </c>
      <c r="B48" s="25"/>
      <c r="C48" s="25"/>
      <c r="D48" s="25"/>
      <c r="E48" s="25"/>
      <c r="F48" s="25"/>
      <c r="G48" s="25"/>
      <c r="H48" s="25"/>
      <c r="I48" s="25"/>
      <c r="J48" s="25">
        <v>332.36</v>
      </c>
      <c r="K48" s="25">
        <v>240.91</v>
      </c>
      <c r="L48" s="25">
        <v>682.55</v>
      </c>
      <c r="M48" s="25">
        <v>1353.6800000000003</v>
      </c>
      <c r="N48" s="25">
        <v>2304.3199999999997</v>
      </c>
      <c r="O48" s="25">
        <v>2402.9</v>
      </c>
      <c r="P48" s="25">
        <v>687.24</v>
      </c>
      <c r="Q48" s="25">
        <v>3582.1000000000004</v>
      </c>
      <c r="R48" s="25">
        <v>15890.399999999998</v>
      </c>
      <c r="S48" s="25">
        <v>5389.85</v>
      </c>
      <c r="T48" s="25"/>
    </row>
    <row r="49" spans="1:21" x14ac:dyDescent="0.35">
      <c r="A49" s="14">
        <v>61441</v>
      </c>
      <c r="B49" s="25"/>
      <c r="C49" s="25"/>
      <c r="D49" s="25"/>
      <c r="E49" s="25"/>
      <c r="F49" s="25"/>
      <c r="G49" s="25"/>
      <c r="H49" s="25"/>
      <c r="I49" s="25"/>
      <c r="J49" s="25">
        <v>461.16</v>
      </c>
      <c r="K49" s="25">
        <v>1641.84</v>
      </c>
      <c r="L49" s="25">
        <v>586.56000000000006</v>
      </c>
      <c r="M49" s="25">
        <v>2321.14</v>
      </c>
      <c r="N49" s="25">
        <v>126</v>
      </c>
      <c r="O49" s="25">
        <v>160.54</v>
      </c>
      <c r="P49" s="25">
        <v>1089.92</v>
      </c>
      <c r="Q49" s="25">
        <v>15570.970000000001</v>
      </c>
      <c r="R49" s="25">
        <v>5668.79</v>
      </c>
      <c r="S49" s="25">
        <v>4766.54</v>
      </c>
      <c r="T49" s="25">
        <v>2926.24</v>
      </c>
    </row>
    <row r="50" spans="1:21" x14ac:dyDescent="0.35">
      <c r="A50" s="40" t="s">
        <v>155</v>
      </c>
      <c r="B50" s="93">
        <f>SUM(B3:B49)</f>
        <v>335.65000000000003</v>
      </c>
      <c r="C50" s="93">
        <f t="shared" ref="C50:T50" si="0">SUM(C3:C49)</f>
        <v>341.53</v>
      </c>
      <c r="D50" s="93">
        <f t="shared" si="0"/>
        <v>0</v>
      </c>
      <c r="E50" s="93">
        <f t="shared" si="0"/>
        <v>0</v>
      </c>
      <c r="F50" s="93">
        <f t="shared" si="0"/>
        <v>0</v>
      </c>
      <c r="G50" s="93">
        <f t="shared" si="0"/>
        <v>2306.3100000000004</v>
      </c>
      <c r="H50" s="93">
        <f t="shared" si="0"/>
        <v>8592.7200000000012</v>
      </c>
      <c r="I50" s="93">
        <f t="shared" si="0"/>
        <v>2476.7800000000002</v>
      </c>
      <c r="J50" s="93">
        <f t="shared" si="0"/>
        <v>286037.79999999993</v>
      </c>
      <c r="K50" s="93">
        <f t="shared" si="0"/>
        <v>394249.74000000005</v>
      </c>
      <c r="L50" s="93">
        <f t="shared" si="0"/>
        <v>169514.20999999996</v>
      </c>
      <c r="M50" s="93">
        <f t="shared" si="0"/>
        <v>174552.56</v>
      </c>
      <c r="N50" s="93">
        <f t="shared" si="0"/>
        <v>391626.26999999996</v>
      </c>
      <c r="O50" s="93">
        <f t="shared" si="0"/>
        <v>209219.72000000006</v>
      </c>
      <c r="P50" s="93">
        <f t="shared" si="0"/>
        <v>704002.63999999978</v>
      </c>
      <c r="Q50" s="93">
        <f t="shared" si="0"/>
        <v>1364499.2800000005</v>
      </c>
      <c r="R50" s="93">
        <f t="shared" si="0"/>
        <v>747256.9800000001</v>
      </c>
      <c r="S50" s="93">
        <f t="shared" si="0"/>
        <v>420598.52999999997</v>
      </c>
      <c r="T50" s="93">
        <f t="shared" si="0"/>
        <v>577388.81000000006</v>
      </c>
    </row>
    <row r="54" spans="1:21" s="97" customFormat="1" x14ac:dyDescent="0.35">
      <c r="B54" s="97" t="s">
        <v>209</v>
      </c>
    </row>
    <row r="55" spans="1:21" s="95" customFormat="1" x14ac:dyDescent="0.35">
      <c r="A55" s="96" t="s">
        <v>207</v>
      </c>
      <c r="B55" s="96">
        <v>2005</v>
      </c>
      <c r="C55" s="96">
        <v>2006</v>
      </c>
      <c r="D55" s="96">
        <v>2007</v>
      </c>
      <c r="E55" s="96">
        <v>2008</v>
      </c>
      <c r="F55" s="96">
        <v>2009</v>
      </c>
      <c r="G55" s="96">
        <v>2010</v>
      </c>
      <c r="H55" s="96">
        <v>2011</v>
      </c>
      <c r="I55" s="96">
        <v>2012</v>
      </c>
      <c r="J55" s="96">
        <v>2013</v>
      </c>
      <c r="K55" s="96">
        <v>2014</v>
      </c>
      <c r="L55" s="96">
        <v>2015</v>
      </c>
      <c r="M55" s="96">
        <v>2016</v>
      </c>
      <c r="N55" s="96">
        <v>2017</v>
      </c>
      <c r="O55" s="96">
        <v>2018</v>
      </c>
      <c r="P55" s="96">
        <v>2019</v>
      </c>
      <c r="Q55" s="96">
        <v>2020</v>
      </c>
      <c r="R55" s="96">
        <v>2021</v>
      </c>
      <c r="S55" s="96">
        <v>2022</v>
      </c>
      <c r="T55" s="96" t="s">
        <v>212</v>
      </c>
    </row>
    <row r="56" spans="1:21" s="103" customFormat="1" x14ac:dyDescent="0.35">
      <c r="A56" s="104" t="s">
        <v>211</v>
      </c>
      <c r="B56" s="102">
        <f>B50</f>
        <v>335.65000000000003</v>
      </c>
      <c r="C56" s="102">
        <f t="shared" ref="C56:T56" si="1">C50</f>
        <v>341.53</v>
      </c>
      <c r="D56" s="102">
        <f t="shared" si="1"/>
        <v>0</v>
      </c>
      <c r="E56" s="102">
        <f t="shared" si="1"/>
        <v>0</v>
      </c>
      <c r="F56" s="102">
        <f t="shared" si="1"/>
        <v>0</v>
      </c>
      <c r="G56" s="102">
        <f t="shared" si="1"/>
        <v>2306.3100000000004</v>
      </c>
      <c r="H56" s="102">
        <f t="shared" si="1"/>
        <v>8592.7200000000012</v>
      </c>
      <c r="I56" s="102">
        <f t="shared" si="1"/>
        <v>2476.7800000000002</v>
      </c>
      <c r="J56" s="102">
        <f t="shared" si="1"/>
        <v>286037.79999999993</v>
      </c>
      <c r="K56" s="102">
        <f t="shared" si="1"/>
        <v>394249.74000000005</v>
      </c>
      <c r="L56" s="102">
        <f t="shared" si="1"/>
        <v>169514.20999999996</v>
      </c>
      <c r="M56" s="102">
        <f t="shared" si="1"/>
        <v>174552.56</v>
      </c>
      <c r="N56" s="102">
        <f t="shared" si="1"/>
        <v>391626.26999999996</v>
      </c>
      <c r="O56" s="102">
        <f t="shared" si="1"/>
        <v>209219.72000000006</v>
      </c>
      <c r="P56" s="102">
        <f t="shared" si="1"/>
        <v>704002.63999999978</v>
      </c>
      <c r="Q56" s="102">
        <f t="shared" si="1"/>
        <v>1364499.2800000005</v>
      </c>
      <c r="R56" s="102">
        <f t="shared" si="1"/>
        <v>747256.9800000001</v>
      </c>
      <c r="S56" s="102">
        <f t="shared" si="1"/>
        <v>420598.52999999997</v>
      </c>
      <c r="T56" s="102">
        <f t="shared" si="1"/>
        <v>577388.81000000006</v>
      </c>
    </row>
    <row r="57" spans="1:21" x14ac:dyDescent="0.35">
      <c r="A57" t="s">
        <v>210</v>
      </c>
      <c r="B57">
        <v>2</v>
      </c>
      <c r="C57">
        <v>2</v>
      </c>
      <c r="G57">
        <v>2</v>
      </c>
      <c r="H57">
        <v>10</v>
      </c>
      <c r="I57">
        <v>9</v>
      </c>
      <c r="J57">
        <v>89</v>
      </c>
      <c r="K57">
        <v>145</v>
      </c>
      <c r="L57">
        <v>132</v>
      </c>
      <c r="M57">
        <v>157</v>
      </c>
      <c r="N57">
        <v>146</v>
      </c>
      <c r="O57">
        <v>130</v>
      </c>
      <c r="P57">
        <v>151</v>
      </c>
      <c r="Q57">
        <v>174</v>
      </c>
      <c r="R57">
        <v>177</v>
      </c>
      <c r="S57">
        <v>216</v>
      </c>
      <c r="T57">
        <v>143</v>
      </c>
    </row>
    <row r="58" spans="1:21" s="25" customFormat="1" x14ac:dyDescent="0.35">
      <c r="A58" s="25" t="s">
        <v>302</v>
      </c>
      <c r="B58" s="25">
        <f>PRODUCT(B56,'servis podľa rokov'!C64:$U$64)</f>
        <v>615.2748944594681</v>
      </c>
      <c r="C58" s="25">
        <f>PRODUCT(C56,'servis podľa rokov'!D64:$U$64)</f>
        <v>599.09419402542392</v>
      </c>
      <c r="D58" s="25">
        <f>PRODUCT(D56,'servis podľa rokov'!E64:$U$64)</f>
        <v>0</v>
      </c>
      <c r="E58" s="25">
        <f>PRODUCT(E56,'servis podľa rokov'!F64:$U$64)</f>
        <v>0</v>
      </c>
      <c r="F58" s="25">
        <f>PRODUCT(F56,'servis podľa rokov'!G64:$U$64)</f>
        <v>0</v>
      </c>
      <c r="G58" s="25">
        <f>PRODUCT(G56,'servis podľa rokov'!H64:$U$64)</f>
        <v>3667.0885362879294</v>
      </c>
      <c r="H58" s="25">
        <f>PRODUCT(H56,'servis podľa rokov'!I64:$U$64)</f>
        <v>13148.827279513085</v>
      </c>
      <c r="I58" s="25">
        <f>PRODUCT(I56,'servis podľa rokov'!J64:$U$64)</f>
        <v>3657.7773497921448</v>
      </c>
      <c r="J58" s="25">
        <f>PRODUCT(J56,'servis podľa rokov'!K64:$U$64)</f>
        <v>416627.67864640919</v>
      </c>
      <c r="K58" s="25">
        <f>PRODUCT(K56,'servis podľa rokov'!L64:$U$64)</f>
        <v>574640.15180349222</v>
      </c>
      <c r="L58" s="25">
        <f>PRODUCT(L56,'servis podľa rokov'!M64:$U$64)</f>
        <v>247891.28971416396</v>
      </c>
      <c r="M58" s="25">
        <f>PRODUCT(M56,'servis podľa rokov'!N64:$U$64)</f>
        <v>256591.01619234926</v>
      </c>
      <c r="N58" s="25">
        <f>PRODUCT(N56,'servis podľa rokov'!O64:$U$64)</f>
        <v>568253.20785192878</v>
      </c>
      <c r="O58" s="25">
        <f>PRODUCT(O56,'servis podľa rokov'!P64:$U$64)</f>
        <v>296190.76328950777</v>
      </c>
      <c r="P58" s="25">
        <f>PRODUCT(P56,'servis podľa rokov'!Q64:$U$64)</f>
        <v>970668.92770810355</v>
      </c>
      <c r="Q58" s="25">
        <f>PRODUCT(Q56,'servis podľa rokov'!R64:$U$64)</f>
        <v>1845629.700474655</v>
      </c>
      <c r="R58" s="25">
        <f>PRODUCT(R56,'servis podľa rokov'!S64:$U$64)</f>
        <v>979798.84472189692</v>
      </c>
      <c r="S58" s="25">
        <f>PRODUCT(S56,'servis podľa rokov'!T64:$U$64)</f>
        <v>488906.25486317999</v>
      </c>
      <c r="T58" s="25">
        <f>PRODUCT(T56,'servis podľa rokov'!U64:$U$64)</f>
        <v>606835.63931</v>
      </c>
    </row>
    <row r="62" spans="1:21" x14ac:dyDescent="0.35">
      <c r="A62" s="110" t="s">
        <v>301</v>
      </c>
    </row>
    <row r="63" spans="1:21" x14ac:dyDescent="0.35">
      <c r="B63" s="111">
        <v>2.7</v>
      </c>
      <c r="C63" s="111">
        <v>4.5</v>
      </c>
      <c r="D63" s="111">
        <v>2.8</v>
      </c>
      <c r="E63" s="101">
        <v>4.5859214436325013</v>
      </c>
      <c r="F63" s="101">
        <v>1.6327099636110065</v>
      </c>
      <c r="G63" s="101">
        <v>0.96310344387255387</v>
      </c>
      <c r="H63" s="101">
        <v>3.9076093716574336</v>
      </c>
      <c r="I63" s="101">
        <v>3.6159292464712722</v>
      </c>
      <c r="J63" s="101">
        <v>1.392339597292358</v>
      </c>
      <c r="K63" s="101">
        <v>-6.9022117983580378E-2</v>
      </c>
      <c r="L63" s="101">
        <v>-0.32886688889107174</v>
      </c>
      <c r="M63" s="101">
        <v>-0.5190479544273513</v>
      </c>
      <c r="N63" s="101">
        <v>1.3083271960336151</v>
      </c>
      <c r="O63" s="101">
        <v>2.4946473231481248</v>
      </c>
      <c r="P63" s="101">
        <v>2.6767360420687893</v>
      </c>
      <c r="Q63" s="101">
        <v>1.9355288167929752</v>
      </c>
      <c r="R63" s="101">
        <v>3.1583333333333297</v>
      </c>
      <c r="S63" s="101">
        <v>12.8</v>
      </c>
      <c r="T63" s="101">
        <v>10.6</v>
      </c>
      <c r="U63">
        <v>5.0999999999999996</v>
      </c>
    </row>
    <row r="64" spans="1:21" x14ac:dyDescent="0.35">
      <c r="B64" s="109">
        <f>1+(B63/100)</f>
        <v>1.0269999999999999</v>
      </c>
      <c r="C64" s="109">
        <f t="shared" ref="C64:U64" si="2">1+(C63/100)</f>
        <v>1.0449999999999999</v>
      </c>
      <c r="D64" s="109">
        <f t="shared" si="2"/>
        <v>1.028</v>
      </c>
      <c r="E64" s="109">
        <f t="shared" si="2"/>
        <v>1.045859214436325</v>
      </c>
      <c r="F64" s="109">
        <f t="shared" si="2"/>
        <v>1.01632709963611</v>
      </c>
      <c r="G64" s="109">
        <f t="shared" si="2"/>
        <v>1.0096310344387256</v>
      </c>
      <c r="H64" s="109">
        <f t="shared" si="2"/>
        <v>1.0390760937165744</v>
      </c>
      <c r="I64" s="109">
        <f t="shared" si="2"/>
        <v>1.0361592924647127</v>
      </c>
      <c r="J64" s="109">
        <f t="shared" si="2"/>
        <v>1.0139233959729235</v>
      </c>
      <c r="K64" s="109">
        <f t="shared" si="2"/>
        <v>0.99930977882016414</v>
      </c>
      <c r="L64" s="109">
        <f t="shared" si="2"/>
        <v>0.99671133111108934</v>
      </c>
      <c r="M64" s="109">
        <f t="shared" si="2"/>
        <v>0.99480952045572646</v>
      </c>
      <c r="N64" s="109">
        <f t="shared" si="2"/>
        <v>1.0130832719603362</v>
      </c>
      <c r="O64" s="109">
        <f t="shared" si="2"/>
        <v>1.0249464732314812</v>
      </c>
      <c r="P64" s="109">
        <f t="shared" si="2"/>
        <v>1.0267673604206879</v>
      </c>
      <c r="Q64" s="109">
        <f t="shared" si="2"/>
        <v>1.0193552881679298</v>
      </c>
      <c r="R64" s="109">
        <f t="shared" si="2"/>
        <v>1.0315833333333333</v>
      </c>
      <c r="S64" s="109">
        <f>1+(S63/100)</f>
        <v>1.1280000000000001</v>
      </c>
      <c r="T64" s="109">
        <f t="shared" si="2"/>
        <v>1.1060000000000001</v>
      </c>
      <c r="U64" s="109">
        <f t="shared" si="2"/>
        <v>1.0509999999999999</v>
      </c>
    </row>
    <row r="69" spans="2:2" x14ac:dyDescent="0.35">
      <c r="B69" t="s">
        <v>216</v>
      </c>
    </row>
    <row r="70" spans="2:2" x14ac:dyDescent="0.35">
      <c r="B70" t="s">
        <v>308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>
      <selection activeCell="B4" sqref="B4"/>
    </sheetView>
  </sheetViews>
  <sheetFormatPr defaultRowHeight="14.5" x14ac:dyDescent="0.35"/>
  <cols>
    <col min="1" max="1" width="14.54296875" bestFit="1" customWidth="1"/>
    <col min="2" max="2" width="16.54296875" customWidth="1"/>
    <col min="3" max="3" width="8.81640625" bestFit="1" customWidth="1"/>
  </cols>
  <sheetData>
    <row r="1" spans="1:3" x14ac:dyDescent="0.35">
      <c r="A1" t="s">
        <v>294</v>
      </c>
    </row>
    <row r="2" spans="1:3" ht="15" thickBot="1" x14ac:dyDescent="0.4"/>
    <row r="3" spans="1:3" ht="39.5" thickBot="1" x14ac:dyDescent="0.4">
      <c r="A3" s="119" t="s">
        <v>295</v>
      </c>
      <c r="B3" s="120" t="s">
        <v>296</v>
      </c>
      <c r="C3" s="120" t="s">
        <v>297</v>
      </c>
    </row>
    <row r="4" spans="1:3" ht="39.5" thickBot="1" x14ac:dyDescent="0.4">
      <c r="A4" s="121" t="s">
        <v>298</v>
      </c>
      <c r="B4" s="122">
        <v>1.8599999999999998E-2</v>
      </c>
      <c r="C4" s="123" t="s">
        <v>299</v>
      </c>
    </row>
    <row r="5" spans="1:3" ht="26.5" thickBot="1" x14ac:dyDescent="0.4">
      <c r="A5" s="121" t="s">
        <v>260</v>
      </c>
      <c r="B5" s="122">
        <v>4.1999999999999997E-3</v>
      </c>
      <c r="C5" s="123" t="s">
        <v>300</v>
      </c>
    </row>
    <row r="6" spans="1:3" ht="65.5" thickBot="1" x14ac:dyDescent="0.4">
      <c r="A6" s="121" t="s">
        <v>262</v>
      </c>
      <c r="B6" s="122">
        <v>1.6000000000000001E-3</v>
      </c>
      <c r="C6" s="123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showGridLines="0" zoomScale="55" zoomScaleNormal="55" workbookViewId="0">
      <selection activeCell="AE8" sqref="AE8"/>
    </sheetView>
  </sheetViews>
  <sheetFormatPr defaultRowHeight="14.5" x14ac:dyDescent="0.35"/>
  <cols>
    <col min="1" max="1" width="3.36328125" style="38" customWidth="1"/>
    <col min="2" max="2" width="11" style="37" customWidth="1"/>
    <col min="3" max="3" width="14.90625" style="37" customWidth="1"/>
    <col min="4" max="4" width="14.6328125" style="37" customWidth="1"/>
    <col min="5" max="5" width="15.36328125" style="37" bestFit="1" customWidth="1"/>
    <col min="6" max="6" width="11" style="37" bestFit="1" customWidth="1"/>
    <col min="7" max="11" width="11" style="37" customWidth="1"/>
    <col min="12" max="13" width="18.26953125" style="37" customWidth="1"/>
    <col min="14" max="14" width="36.08984375" style="37" hidden="1" customWidth="1"/>
    <col min="15" max="15" width="48.81640625" style="37" hidden="1" customWidth="1"/>
    <col min="16" max="16" width="11" style="37" hidden="1" customWidth="1"/>
    <col min="17" max="17" width="14.81640625" style="37" hidden="1" customWidth="1"/>
    <col min="18" max="18" width="15" style="37" hidden="1" customWidth="1"/>
    <col min="19" max="19" width="36.36328125" style="37" hidden="1" customWidth="1"/>
    <col min="20" max="20" width="24.36328125" style="37" hidden="1" customWidth="1"/>
    <col min="21" max="21" width="16.54296875" style="18" hidden="1" customWidth="1"/>
    <col min="22" max="22" width="6.36328125" style="39" hidden="1" customWidth="1"/>
    <col min="23" max="23" width="38.453125" style="20" hidden="1" customWidth="1"/>
    <col min="24" max="24" width="31" style="39" hidden="1" customWidth="1"/>
    <col min="25" max="25" width="16.90625" style="39" hidden="1" customWidth="1"/>
    <col min="26" max="26" width="79.08984375" style="37" hidden="1" customWidth="1"/>
    <col min="27" max="27" width="8.7265625" hidden="1" customWidth="1"/>
    <col min="28" max="30" width="8.7265625" style="37" hidden="1" customWidth="1"/>
    <col min="31" max="31" width="15.26953125" style="38" customWidth="1"/>
    <col min="32" max="33" width="8.7265625" style="38"/>
    <col min="34" max="34" width="17.90625" style="38" bestFit="1" customWidth="1"/>
    <col min="35" max="36" width="25" style="38" bestFit="1" customWidth="1"/>
    <col min="37" max="16384" width="8.7265625" style="38"/>
  </cols>
  <sheetData>
    <row r="1" spans="1:36" ht="15" thickBot="1" x14ac:dyDescent="0.4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3"/>
      <c r="W1" s="54"/>
      <c r="X1" s="53"/>
      <c r="Y1" s="53"/>
      <c r="Z1" s="51"/>
      <c r="AA1" s="48"/>
      <c r="AB1" s="51"/>
      <c r="AC1" s="51"/>
      <c r="AD1" s="51"/>
      <c r="AE1" s="50"/>
      <c r="AH1" s="115" t="s">
        <v>283</v>
      </c>
    </row>
    <row r="2" spans="1:36" ht="52" x14ac:dyDescent="0.35">
      <c r="A2" s="50"/>
      <c r="B2" s="66" t="s">
        <v>183</v>
      </c>
      <c r="C2" s="67" t="s">
        <v>185</v>
      </c>
      <c r="D2" s="67" t="s">
        <v>186</v>
      </c>
      <c r="E2" s="67" t="s">
        <v>307</v>
      </c>
      <c r="F2" s="68" t="s">
        <v>3</v>
      </c>
      <c r="G2" s="68" t="s">
        <v>191</v>
      </c>
      <c r="H2" s="68" t="s">
        <v>190</v>
      </c>
      <c r="I2" s="68" t="s">
        <v>189</v>
      </c>
      <c r="J2" s="68" t="s">
        <v>192</v>
      </c>
      <c r="K2" s="68" t="s">
        <v>193</v>
      </c>
      <c r="L2" s="68" t="s">
        <v>194</v>
      </c>
      <c r="M2" s="68" t="s">
        <v>195</v>
      </c>
      <c r="N2" s="69" t="s">
        <v>7</v>
      </c>
      <c r="O2" s="68" t="s">
        <v>2</v>
      </c>
      <c r="P2" s="68" t="s">
        <v>160</v>
      </c>
      <c r="Q2" s="69" t="s">
        <v>4</v>
      </c>
      <c r="R2" s="69" t="s">
        <v>5</v>
      </c>
      <c r="S2" s="69" t="s">
        <v>6</v>
      </c>
      <c r="T2" s="69" t="s">
        <v>119</v>
      </c>
      <c r="U2" s="70" t="s">
        <v>148</v>
      </c>
      <c r="V2" s="71" t="s">
        <v>145</v>
      </c>
      <c r="W2" s="72" t="s">
        <v>159</v>
      </c>
      <c r="X2" s="71" t="s">
        <v>147</v>
      </c>
      <c r="Y2" s="71" t="s">
        <v>146</v>
      </c>
      <c r="Z2" s="69" t="s">
        <v>133</v>
      </c>
      <c r="AA2" s="73"/>
      <c r="AB2" s="67" t="s">
        <v>152</v>
      </c>
      <c r="AC2" s="67" t="s">
        <v>158</v>
      </c>
      <c r="AD2" s="67" t="s">
        <v>170</v>
      </c>
      <c r="AE2" s="74" t="s">
        <v>196</v>
      </c>
      <c r="AH2" s="41" t="s">
        <v>197</v>
      </c>
      <c r="AI2" s="47" t="s">
        <v>185</v>
      </c>
      <c r="AJ2" s="42" t="s">
        <v>206</v>
      </c>
    </row>
    <row r="3" spans="1:36" ht="15" customHeight="1" x14ac:dyDescent="0.35">
      <c r="A3" s="50"/>
      <c r="B3" s="75">
        <v>44140</v>
      </c>
      <c r="C3" s="51" t="s">
        <v>184</v>
      </c>
      <c r="D3" s="56">
        <v>10774</v>
      </c>
      <c r="E3" s="56">
        <v>961354.33</v>
      </c>
      <c r="F3" s="55">
        <v>2013</v>
      </c>
      <c r="G3" s="55">
        <f t="shared" ref="G3:G49" si="0">2024-F3</f>
        <v>11</v>
      </c>
      <c r="H3" s="57">
        <f>VLOOKUP(B3,'[1]SERVIS SUMM'!A$1:E$48,5,FALSE)</f>
        <v>2</v>
      </c>
      <c r="I3" s="57">
        <f t="shared" ref="I3:I35" si="1">IF(H3&lt;4,1,IF(H3&lt;8,2,IF(H3&lt;12,3,IF(H3&lt;16,4,5))))</f>
        <v>1</v>
      </c>
      <c r="J3" s="58">
        <f t="shared" ref="J3:J49" si="2">D3/10000</f>
        <v>1.0773999999999999</v>
      </c>
      <c r="K3" s="58">
        <v>5</v>
      </c>
      <c r="L3" s="59">
        <f t="shared" ref="L3:L49" si="3">Y3/W3</f>
        <v>1.6212544650420414E-2</v>
      </c>
      <c r="M3" s="60">
        <f t="shared" ref="M3:M49" si="4">L3/20*100</f>
        <v>8.1062723252102079E-2</v>
      </c>
      <c r="N3" s="61" t="s">
        <v>54</v>
      </c>
      <c r="O3" s="55" t="s">
        <v>112</v>
      </c>
      <c r="P3" s="55" t="s">
        <v>165</v>
      </c>
      <c r="Q3" s="61" t="s">
        <v>76</v>
      </c>
      <c r="R3" s="61" t="s">
        <v>117</v>
      </c>
      <c r="S3" s="61" t="s">
        <v>118</v>
      </c>
      <c r="T3" s="61" t="s">
        <v>120</v>
      </c>
      <c r="U3" s="52">
        <v>961354.33</v>
      </c>
      <c r="V3" s="53" t="s">
        <v>150</v>
      </c>
      <c r="W3" s="54">
        <f>U3</f>
        <v>961354.33</v>
      </c>
      <c r="X3" s="53">
        <v>10774</v>
      </c>
      <c r="Y3" s="62">
        <v>15586</v>
      </c>
      <c r="Z3" s="61" t="s">
        <v>136</v>
      </c>
      <c r="AA3" s="50"/>
      <c r="AB3" s="51" t="s">
        <v>152</v>
      </c>
      <c r="AC3" s="51">
        <f t="shared" ref="AC3:AC49" si="5">2023-F3</f>
        <v>10</v>
      </c>
      <c r="AD3" s="63">
        <f t="shared" ref="AD3:AD49" si="6">X3/AC3</f>
        <v>1077.4000000000001</v>
      </c>
      <c r="AE3" s="76">
        <f t="shared" ref="AE3:AE49" si="7">M3+K3+J3+I3+G3</f>
        <v>18.1584627232521</v>
      </c>
      <c r="AH3" s="43" t="s">
        <v>198</v>
      </c>
      <c r="AI3" s="48" t="s">
        <v>199</v>
      </c>
      <c r="AJ3" s="44">
        <v>0</v>
      </c>
    </row>
    <row r="4" spans="1:36" ht="15" customHeight="1" x14ac:dyDescent="0.35">
      <c r="A4" s="50"/>
      <c r="B4" s="75">
        <v>44145</v>
      </c>
      <c r="C4" s="51" t="s">
        <v>184</v>
      </c>
      <c r="D4" s="56">
        <v>14002</v>
      </c>
      <c r="E4" s="56">
        <v>961354.33</v>
      </c>
      <c r="F4" s="55">
        <v>2012</v>
      </c>
      <c r="G4" s="55">
        <f t="shared" si="0"/>
        <v>12</v>
      </c>
      <c r="H4" s="57">
        <f>VLOOKUP(B4,'[1]SERVIS SUMM'!A$1:E$48,5,FALSE)</f>
        <v>3.6666666666666665</v>
      </c>
      <c r="I4" s="57">
        <f t="shared" si="1"/>
        <v>1</v>
      </c>
      <c r="J4" s="58">
        <f t="shared" si="2"/>
        <v>1.4001999999999999</v>
      </c>
      <c r="K4" s="58">
        <v>5</v>
      </c>
      <c r="L4" s="59">
        <f t="shared" si="3"/>
        <v>8.3828612911120925E-2</v>
      </c>
      <c r="M4" s="60">
        <f t="shared" si="4"/>
        <v>0.41914306455560463</v>
      </c>
      <c r="N4" s="61" t="s">
        <v>54</v>
      </c>
      <c r="O4" s="55" t="s">
        <v>112</v>
      </c>
      <c r="P4" s="55" t="s">
        <v>165</v>
      </c>
      <c r="Q4" s="61" t="s">
        <v>24</v>
      </c>
      <c r="R4" s="61" t="s">
        <v>114</v>
      </c>
      <c r="S4" s="61" t="s">
        <v>115</v>
      </c>
      <c r="T4" s="61" t="s">
        <v>122</v>
      </c>
      <c r="U4" s="52">
        <v>961354.33</v>
      </c>
      <c r="V4" s="53" t="s">
        <v>150</v>
      </c>
      <c r="W4" s="54">
        <f>U4</f>
        <v>961354.33</v>
      </c>
      <c r="X4" s="53">
        <v>14002</v>
      </c>
      <c r="Y4" s="62">
        <v>80589</v>
      </c>
      <c r="Z4" s="61" t="s">
        <v>126</v>
      </c>
      <c r="AA4" s="50"/>
      <c r="AB4" s="51" t="s">
        <v>152</v>
      </c>
      <c r="AC4" s="51">
        <f t="shared" si="5"/>
        <v>11</v>
      </c>
      <c r="AD4" s="63">
        <f t="shared" si="6"/>
        <v>1272.909090909091</v>
      </c>
      <c r="AE4" s="76">
        <f t="shared" si="7"/>
        <v>19.819343064555603</v>
      </c>
      <c r="AH4" s="43" t="s">
        <v>200</v>
      </c>
      <c r="AI4" s="48" t="s">
        <v>201</v>
      </c>
      <c r="AJ4" s="44">
        <v>0</v>
      </c>
    </row>
    <row r="5" spans="1:36" ht="15" customHeight="1" x14ac:dyDescent="0.35">
      <c r="A5" s="50"/>
      <c r="B5" s="75">
        <v>44133</v>
      </c>
      <c r="C5" s="51" t="s">
        <v>125</v>
      </c>
      <c r="D5" s="56">
        <v>22553</v>
      </c>
      <c r="E5" s="56">
        <v>961354.33</v>
      </c>
      <c r="F5" s="55">
        <v>2012</v>
      </c>
      <c r="G5" s="55">
        <f t="shared" si="0"/>
        <v>12</v>
      </c>
      <c r="H5" s="57">
        <f>VLOOKUP(B5,'[1]SERVIS SUMM'!A$1:E$48,5,FALSE)</f>
        <v>3.6666666666666665</v>
      </c>
      <c r="I5" s="57">
        <f t="shared" si="1"/>
        <v>1</v>
      </c>
      <c r="J5" s="58">
        <f t="shared" si="2"/>
        <v>2.2553000000000001</v>
      </c>
      <c r="K5" s="58">
        <v>5</v>
      </c>
      <c r="L5" s="59">
        <f t="shared" si="3"/>
        <v>1.8538430050031605E-2</v>
      </c>
      <c r="M5" s="60">
        <f t="shared" si="4"/>
        <v>9.2692150250158034E-2</v>
      </c>
      <c r="N5" s="61" t="s">
        <v>54</v>
      </c>
      <c r="O5" s="55" t="s">
        <v>112</v>
      </c>
      <c r="P5" s="55" t="s">
        <v>165</v>
      </c>
      <c r="Q5" s="61" t="s">
        <v>44</v>
      </c>
      <c r="R5" s="61" t="s">
        <v>110</v>
      </c>
      <c r="S5" s="61" t="s">
        <v>116</v>
      </c>
      <c r="T5" s="61" t="s">
        <v>120</v>
      </c>
      <c r="U5" s="52">
        <v>961354.33</v>
      </c>
      <c r="V5" s="53" t="s">
        <v>150</v>
      </c>
      <c r="W5" s="54">
        <f>U5</f>
        <v>961354.33</v>
      </c>
      <c r="X5" s="53">
        <v>22553</v>
      </c>
      <c r="Y5" s="62">
        <v>17822</v>
      </c>
      <c r="Z5" s="64" t="s">
        <v>144</v>
      </c>
      <c r="AA5" s="50"/>
      <c r="AB5" s="51"/>
      <c r="AC5" s="51">
        <f t="shared" si="5"/>
        <v>11</v>
      </c>
      <c r="AD5" s="63">
        <f t="shared" si="6"/>
        <v>2050.2727272727275</v>
      </c>
      <c r="AE5" s="76">
        <f t="shared" si="7"/>
        <v>20.347992150250157</v>
      </c>
      <c r="AH5" s="43" t="s">
        <v>202</v>
      </c>
      <c r="AI5" s="48" t="s">
        <v>203</v>
      </c>
      <c r="AJ5" s="44">
        <v>3</v>
      </c>
    </row>
    <row r="6" spans="1:36" ht="15" customHeight="1" thickBot="1" x14ac:dyDescent="0.4">
      <c r="A6" s="50"/>
      <c r="B6" s="75">
        <v>44134</v>
      </c>
      <c r="C6" s="51" t="s">
        <v>125</v>
      </c>
      <c r="D6" s="56">
        <v>32505</v>
      </c>
      <c r="E6" s="56">
        <v>961354.33</v>
      </c>
      <c r="F6" s="55">
        <v>2012</v>
      </c>
      <c r="G6" s="55">
        <f t="shared" si="0"/>
        <v>12</v>
      </c>
      <c r="H6" s="57">
        <f>VLOOKUP(B6,'[1]SERVIS SUMM'!A$1:E$48,5,FALSE)</f>
        <v>4.333333333333333</v>
      </c>
      <c r="I6" s="57">
        <f t="shared" si="1"/>
        <v>2</v>
      </c>
      <c r="J6" s="58">
        <f t="shared" si="2"/>
        <v>3.2505000000000002</v>
      </c>
      <c r="K6" s="58">
        <v>5</v>
      </c>
      <c r="L6" s="59">
        <f t="shared" si="3"/>
        <v>0.18377303194754427</v>
      </c>
      <c r="M6" s="60">
        <f t="shared" si="4"/>
        <v>0.91886515973772132</v>
      </c>
      <c r="N6" s="61" t="s">
        <v>54</v>
      </c>
      <c r="O6" s="55" t="s">
        <v>112</v>
      </c>
      <c r="P6" s="55" t="s">
        <v>165</v>
      </c>
      <c r="Q6" s="61" t="s">
        <v>62</v>
      </c>
      <c r="R6" s="61" t="s">
        <v>85</v>
      </c>
      <c r="S6" s="61" t="s">
        <v>113</v>
      </c>
      <c r="T6" s="61" t="s">
        <v>123</v>
      </c>
      <c r="U6" s="52">
        <v>961354.33</v>
      </c>
      <c r="V6" s="53" t="s">
        <v>150</v>
      </c>
      <c r="W6" s="54">
        <f>U6</f>
        <v>961354.33</v>
      </c>
      <c r="X6" s="53">
        <v>32505</v>
      </c>
      <c r="Y6" s="62">
        <v>176671</v>
      </c>
      <c r="Z6" s="64" t="s">
        <v>143</v>
      </c>
      <c r="AA6" s="50"/>
      <c r="AB6" s="51"/>
      <c r="AC6" s="51">
        <f t="shared" si="5"/>
        <v>11</v>
      </c>
      <c r="AD6" s="63">
        <f t="shared" si="6"/>
        <v>2955</v>
      </c>
      <c r="AE6" s="76">
        <f t="shared" si="7"/>
        <v>23.169365159737723</v>
      </c>
      <c r="AH6" s="45" t="s">
        <v>204</v>
      </c>
      <c r="AI6" s="49" t="s">
        <v>205</v>
      </c>
      <c r="AJ6" s="46">
        <v>44</v>
      </c>
    </row>
    <row r="7" spans="1:36" ht="15" customHeight="1" x14ac:dyDescent="0.35">
      <c r="A7" s="50"/>
      <c r="B7" s="75">
        <v>42683</v>
      </c>
      <c r="C7" s="51" t="s">
        <v>184</v>
      </c>
      <c r="D7" s="56">
        <v>18419</v>
      </c>
      <c r="E7" s="56">
        <v>959293.03</v>
      </c>
      <c r="F7" s="55">
        <v>2009</v>
      </c>
      <c r="G7" s="55">
        <f t="shared" si="0"/>
        <v>15</v>
      </c>
      <c r="H7" s="57">
        <f>VLOOKUP(B7,'[1]SERVIS SUMM'!A$1:E$48,5,FALSE)</f>
        <v>2</v>
      </c>
      <c r="I7" s="57">
        <f t="shared" si="1"/>
        <v>1</v>
      </c>
      <c r="J7" s="58">
        <f t="shared" si="2"/>
        <v>1.8419000000000001</v>
      </c>
      <c r="K7" s="58">
        <v>5</v>
      </c>
      <c r="L7" s="59">
        <f t="shared" si="3"/>
        <v>0.12167189414479536</v>
      </c>
      <c r="M7" s="60">
        <f t="shared" si="4"/>
        <v>0.60835947072397678</v>
      </c>
      <c r="N7" s="61" t="s">
        <v>54</v>
      </c>
      <c r="O7" s="55" t="s">
        <v>51</v>
      </c>
      <c r="P7" s="55" t="s">
        <v>164</v>
      </c>
      <c r="Q7" s="61" t="s">
        <v>58</v>
      </c>
      <c r="R7" s="61" t="s">
        <v>101</v>
      </c>
      <c r="S7" s="61" t="s">
        <v>102</v>
      </c>
      <c r="T7" s="61" t="s">
        <v>121</v>
      </c>
      <c r="U7" s="52">
        <v>959293.03</v>
      </c>
      <c r="V7" s="53" t="s">
        <v>150</v>
      </c>
      <c r="W7" s="54">
        <f>U7</f>
        <v>959293.03</v>
      </c>
      <c r="X7" s="53">
        <v>18419</v>
      </c>
      <c r="Y7" s="62">
        <v>116719</v>
      </c>
      <c r="Z7" s="61" t="s">
        <v>126</v>
      </c>
      <c r="AA7" s="50"/>
      <c r="AB7" s="51" t="s">
        <v>152</v>
      </c>
      <c r="AC7" s="51">
        <f t="shared" si="5"/>
        <v>14</v>
      </c>
      <c r="AD7" s="63">
        <f t="shared" si="6"/>
        <v>1315.6428571428571</v>
      </c>
      <c r="AE7" s="76">
        <f t="shared" si="7"/>
        <v>23.450259470723978</v>
      </c>
    </row>
    <row r="8" spans="1:36" ht="15" customHeight="1" x14ac:dyDescent="0.35">
      <c r="A8" s="50"/>
      <c r="B8" s="75">
        <v>42672</v>
      </c>
      <c r="C8" s="51" t="s">
        <v>184</v>
      </c>
      <c r="D8" s="56">
        <v>25992</v>
      </c>
      <c r="E8" s="56">
        <f>28899662/30.126</f>
        <v>959293.03591582016</v>
      </c>
      <c r="F8" s="55">
        <v>2009</v>
      </c>
      <c r="G8" s="55">
        <f t="shared" si="0"/>
        <v>15</v>
      </c>
      <c r="H8" s="57">
        <f>VLOOKUP(B8,'[1]SERVIS SUMM'!A$1:E$48,5,FALSE)</f>
        <v>2.3333333333333335</v>
      </c>
      <c r="I8" s="57">
        <f t="shared" si="1"/>
        <v>1</v>
      </c>
      <c r="J8" s="58">
        <f t="shared" si="2"/>
        <v>2.5992000000000002</v>
      </c>
      <c r="K8" s="58">
        <v>5</v>
      </c>
      <c r="L8" s="59">
        <f t="shared" si="3"/>
        <v>0.11705182441234088</v>
      </c>
      <c r="M8" s="60">
        <f t="shared" si="4"/>
        <v>0.5852591220617045</v>
      </c>
      <c r="N8" s="61" t="s">
        <v>54</v>
      </c>
      <c r="O8" s="55" t="s">
        <v>51</v>
      </c>
      <c r="P8" s="55" t="s">
        <v>164</v>
      </c>
      <c r="Q8" s="61" t="s">
        <v>58</v>
      </c>
      <c r="R8" s="61" t="s">
        <v>99</v>
      </c>
      <c r="S8" s="61" t="s">
        <v>100</v>
      </c>
      <c r="T8" s="61" t="s">
        <v>122</v>
      </c>
      <c r="U8" s="52">
        <v>28899662</v>
      </c>
      <c r="V8" s="53" t="s">
        <v>150</v>
      </c>
      <c r="W8" s="54">
        <f>U8/30.126</f>
        <v>959293.03591582016</v>
      </c>
      <c r="X8" s="53">
        <v>25992</v>
      </c>
      <c r="Y8" s="62">
        <v>112287</v>
      </c>
      <c r="Z8" s="61" t="s">
        <v>126</v>
      </c>
      <c r="AA8" s="50"/>
      <c r="AB8" s="51" t="s">
        <v>152</v>
      </c>
      <c r="AC8" s="51">
        <f t="shared" si="5"/>
        <v>14</v>
      </c>
      <c r="AD8" s="63">
        <f t="shared" si="6"/>
        <v>1856.5714285714287</v>
      </c>
      <c r="AE8" s="76">
        <f t="shared" si="7"/>
        <v>24.184459122061703</v>
      </c>
    </row>
    <row r="9" spans="1:36" ht="15" customHeight="1" x14ac:dyDescent="0.35">
      <c r="A9" s="50"/>
      <c r="B9" s="75">
        <v>42684</v>
      </c>
      <c r="C9" s="51" t="s">
        <v>125</v>
      </c>
      <c r="D9" s="56">
        <v>25764</v>
      </c>
      <c r="E9" s="56">
        <v>959293.03</v>
      </c>
      <c r="F9" s="55">
        <v>2009</v>
      </c>
      <c r="G9" s="55">
        <f t="shared" si="0"/>
        <v>15</v>
      </c>
      <c r="H9" s="57">
        <f>VLOOKUP(B9,'[1]SERVIS SUMM'!A$1:E$48,5,FALSE)</f>
        <v>2</v>
      </c>
      <c r="I9" s="57">
        <f t="shared" si="1"/>
        <v>1</v>
      </c>
      <c r="J9" s="58">
        <f t="shared" si="2"/>
        <v>2.5764</v>
      </c>
      <c r="K9" s="58">
        <v>5</v>
      </c>
      <c r="L9" s="59">
        <f t="shared" si="3"/>
        <v>8.1470413685795259E-2</v>
      </c>
      <c r="M9" s="60">
        <f t="shared" si="4"/>
        <v>0.40735206842897626</v>
      </c>
      <c r="N9" s="61" t="s">
        <v>54</v>
      </c>
      <c r="O9" s="55" t="s">
        <v>84</v>
      </c>
      <c r="P9" s="55" t="s">
        <v>164</v>
      </c>
      <c r="Q9" s="61" t="s">
        <v>58</v>
      </c>
      <c r="R9" s="61" t="s">
        <v>103</v>
      </c>
      <c r="S9" s="61" t="s">
        <v>104</v>
      </c>
      <c r="T9" s="61" t="s">
        <v>122</v>
      </c>
      <c r="U9" s="52">
        <v>959293.03</v>
      </c>
      <c r="V9" s="53" t="s">
        <v>150</v>
      </c>
      <c r="W9" s="54">
        <f>U9</f>
        <v>959293.03</v>
      </c>
      <c r="X9" s="53">
        <v>25764</v>
      </c>
      <c r="Y9" s="62">
        <v>78154</v>
      </c>
      <c r="Z9" s="64" t="s">
        <v>141</v>
      </c>
      <c r="AA9" s="50"/>
      <c r="AB9" s="51"/>
      <c r="AC9" s="51">
        <f t="shared" si="5"/>
        <v>14</v>
      </c>
      <c r="AD9" s="63">
        <f t="shared" si="6"/>
        <v>1840.2857142857142</v>
      </c>
      <c r="AE9" s="76">
        <f t="shared" si="7"/>
        <v>23.983752068428977</v>
      </c>
    </row>
    <row r="10" spans="1:36" ht="15" customHeight="1" x14ac:dyDescent="0.35">
      <c r="A10" s="50"/>
      <c r="B10" s="75">
        <v>42860</v>
      </c>
      <c r="C10" s="51" t="s">
        <v>184</v>
      </c>
      <c r="D10" s="56">
        <v>9674</v>
      </c>
      <c r="E10" s="56">
        <v>928699.8</v>
      </c>
      <c r="F10" s="55">
        <v>2009</v>
      </c>
      <c r="G10" s="55">
        <f t="shared" si="0"/>
        <v>15</v>
      </c>
      <c r="H10" s="57">
        <f>VLOOKUP(B10,'[1]SERVIS SUMM'!A$1:E$48,5,FALSE)</f>
        <v>4.333333333333333</v>
      </c>
      <c r="I10" s="57">
        <f t="shared" si="1"/>
        <v>2</v>
      </c>
      <c r="J10" s="58">
        <f t="shared" si="2"/>
        <v>0.96740000000000004</v>
      </c>
      <c r="K10" s="58">
        <v>5</v>
      </c>
      <c r="L10" s="59">
        <f t="shared" si="3"/>
        <v>0.21301824335484942</v>
      </c>
      <c r="M10" s="60">
        <f t="shared" si="4"/>
        <v>1.0650912167742472</v>
      </c>
      <c r="N10" s="61" t="s">
        <v>89</v>
      </c>
      <c r="O10" s="55" t="s">
        <v>105</v>
      </c>
      <c r="P10" s="55" t="s">
        <v>165</v>
      </c>
      <c r="Q10" s="61" t="s">
        <v>44</v>
      </c>
      <c r="R10" s="61" t="s">
        <v>110</v>
      </c>
      <c r="S10" s="61" t="s">
        <v>111</v>
      </c>
      <c r="T10" s="61" t="s">
        <v>123</v>
      </c>
      <c r="U10" s="52">
        <v>928699.8</v>
      </c>
      <c r="V10" s="53" t="s">
        <v>150</v>
      </c>
      <c r="W10" s="54">
        <f>U10</f>
        <v>928699.8</v>
      </c>
      <c r="X10" s="53">
        <v>9674</v>
      </c>
      <c r="Y10" s="62">
        <v>197830</v>
      </c>
      <c r="Z10" s="61" t="s">
        <v>126</v>
      </c>
      <c r="AA10" s="50"/>
      <c r="AB10" s="51" t="s">
        <v>152</v>
      </c>
      <c r="AC10" s="51">
        <f t="shared" si="5"/>
        <v>14</v>
      </c>
      <c r="AD10" s="63">
        <f t="shared" si="6"/>
        <v>691</v>
      </c>
      <c r="AE10" s="76">
        <f t="shared" si="7"/>
        <v>24.032491216774247</v>
      </c>
    </row>
    <row r="11" spans="1:36" ht="15" customHeight="1" x14ac:dyDescent="0.35">
      <c r="A11" s="50"/>
      <c r="B11" s="75">
        <v>42659</v>
      </c>
      <c r="C11" s="51" t="s">
        <v>125</v>
      </c>
      <c r="D11" s="56">
        <v>19758</v>
      </c>
      <c r="E11" s="56">
        <v>959293.03591582016</v>
      </c>
      <c r="F11" s="55">
        <v>2008</v>
      </c>
      <c r="G11" s="55">
        <f t="shared" si="0"/>
        <v>16</v>
      </c>
      <c r="H11" s="57">
        <f>VLOOKUP(B11,'[1]SERVIS SUMM'!A$1:E$48,5,FALSE)</f>
        <v>2.5</v>
      </c>
      <c r="I11" s="57">
        <f t="shared" si="1"/>
        <v>1</v>
      </c>
      <c r="J11" s="58">
        <f t="shared" si="2"/>
        <v>1.9758</v>
      </c>
      <c r="K11" s="58">
        <v>5</v>
      </c>
      <c r="L11" s="59">
        <f t="shared" si="3"/>
        <v>0.1012693685483242</v>
      </c>
      <c r="M11" s="60">
        <f t="shared" si="4"/>
        <v>0.50634684274162101</v>
      </c>
      <c r="N11" s="61" t="s">
        <v>54</v>
      </c>
      <c r="O11" s="55" t="s">
        <v>51</v>
      </c>
      <c r="P11" s="55" t="s">
        <v>164</v>
      </c>
      <c r="Q11" s="61" t="s">
        <v>35</v>
      </c>
      <c r="R11" s="61" t="s">
        <v>41</v>
      </c>
      <c r="S11" s="61" t="s">
        <v>42</v>
      </c>
      <c r="T11" s="61" t="s">
        <v>122</v>
      </c>
      <c r="U11" s="52">
        <v>28899662</v>
      </c>
      <c r="V11" s="53" t="s">
        <v>149</v>
      </c>
      <c r="W11" s="54">
        <f>U11/30.126</f>
        <v>959293.03591582016</v>
      </c>
      <c r="X11" s="53">
        <v>19758</v>
      </c>
      <c r="Y11" s="62">
        <v>97147</v>
      </c>
      <c r="Z11" s="64" t="s">
        <v>138</v>
      </c>
      <c r="AA11" s="50"/>
      <c r="AB11" s="51"/>
      <c r="AC11" s="51">
        <f t="shared" si="5"/>
        <v>15</v>
      </c>
      <c r="AD11" s="63">
        <f t="shared" si="6"/>
        <v>1317.2</v>
      </c>
      <c r="AE11" s="76">
        <f t="shared" si="7"/>
        <v>24.482146842741621</v>
      </c>
    </row>
    <row r="12" spans="1:36" ht="15" customHeight="1" x14ac:dyDescent="0.35">
      <c r="A12" s="50"/>
      <c r="B12" s="75">
        <v>42679</v>
      </c>
      <c r="C12" s="51" t="s">
        <v>184</v>
      </c>
      <c r="D12" s="56">
        <v>28160</v>
      </c>
      <c r="E12" s="56">
        <v>959293.04</v>
      </c>
      <c r="F12" s="55">
        <v>2009</v>
      </c>
      <c r="G12" s="55">
        <f t="shared" si="0"/>
        <v>15</v>
      </c>
      <c r="H12" s="57">
        <f>VLOOKUP(B12,'[1]SERVIS SUMM'!A$1:E$48,5,FALSE)</f>
        <v>4.333333333333333</v>
      </c>
      <c r="I12" s="57">
        <f t="shared" si="1"/>
        <v>2</v>
      </c>
      <c r="J12" s="58">
        <f t="shared" si="2"/>
        <v>2.8159999999999998</v>
      </c>
      <c r="K12" s="58">
        <v>5</v>
      </c>
      <c r="L12" s="59">
        <f t="shared" si="3"/>
        <v>3.6058846001843191E-2</v>
      </c>
      <c r="M12" s="60">
        <f t="shared" si="4"/>
        <v>0.18029423000921596</v>
      </c>
      <c r="N12" s="61" t="s">
        <v>54</v>
      </c>
      <c r="O12" s="55" t="s">
        <v>71</v>
      </c>
      <c r="P12" s="55" t="s">
        <v>164</v>
      </c>
      <c r="Q12" s="61" t="s">
        <v>28</v>
      </c>
      <c r="R12" s="61" t="s">
        <v>90</v>
      </c>
      <c r="S12" s="61" t="s">
        <v>91</v>
      </c>
      <c r="T12" s="61" t="s">
        <v>121</v>
      </c>
      <c r="U12" s="52">
        <v>959293.04</v>
      </c>
      <c r="V12" s="53" t="s">
        <v>150</v>
      </c>
      <c r="W12" s="54">
        <f>U12</f>
        <v>959293.04</v>
      </c>
      <c r="X12" s="53">
        <v>28160</v>
      </c>
      <c r="Y12" s="62">
        <v>34591</v>
      </c>
      <c r="Z12" s="61" t="s">
        <v>126</v>
      </c>
      <c r="AA12" s="50"/>
      <c r="AB12" s="51" t="s">
        <v>152</v>
      </c>
      <c r="AC12" s="51">
        <f t="shared" si="5"/>
        <v>14</v>
      </c>
      <c r="AD12" s="63">
        <f t="shared" si="6"/>
        <v>2011.4285714285713</v>
      </c>
      <c r="AE12" s="76">
        <f t="shared" si="7"/>
        <v>24.996294230009216</v>
      </c>
    </row>
    <row r="13" spans="1:36" ht="15" customHeight="1" x14ac:dyDescent="0.35">
      <c r="A13" s="50"/>
      <c r="B13" s="75">
        <v>42853</v>
      </c>
      <c r="C13" s="51" t="s">
        <v>184</v>
      </c>
      <c r="D13" s="56">
        <v>19911</v>
      </c>
      <c r="E13" s="56">
        <v>928699.8</v>
      </c>
      <c r="F13" s="55">
        <v>2009</v>
      </c>
      <c r="G13" s="55">
        <f t="shared" si="0"/>
        <v>15</v>
      </c>
      <c r="H13" s="57">
        <f>VLOOKUP(B13,'[1]SERVIS SUMM'!A$1:E$48,5,FALSE)</f>
        <v>4</v>
      </c>
      <c r="I13" s="57">
        <f t="shared" si="1"/>
        <v>2</v>
      </c>
      <c r="J13" s="58">
        <f t="shared" si="2"/>
        <v>1.9911000000000001</v>
      </c>
      <c r="K13" s="58">
        <v>5</v>
      </c>
      <c r="L13" s="59">
        <f t="shared" si="3"/>
        <v>0.22686771333427658</v>
      </c>
      <c r="M13" s="60">
        <f t="shared" si="4"/>
        <v>1.134338566671383</v>
      </c>
      <c r="N13" s="61" t="s">
        <v>89</v>
      </c>
      <c r="O13" s="55" t="s">
        <v>96</v>
      </c>
      <c r="P13" s="55" t="s">
        <v>164</v>
      </c>
      <c r="Q13" s="61" t="s">
        <v>9</v>
      </c>
      <c r="R13" s="61" t="s">
        <v>97</v>
      </c>
      <c r="S13" s="61" t="s">
        <v>98</v>
      </c>
      <c r="T13" s="61" t="s">
        <v>123</v>
      </c>
      <c r="U13" s="52">
        <v>928699.8</v>
      </c>
      <c r="V13" s="53" t="s">
        <v>150</v>
      </c>
      <c r="W13" s="54">
        <f>U13</f>
        <v>928699.8</v>
      </c>
      <c r="X13" s="53">
        <v>19911</v>
      </c>
      <c r="Y13" s="62">
        <v>210692</v>
      </c>
      <c r="Z13" s="65" t="s">
        <v>140</v>
      </c>
      <c r="AA13" s="50"/>
      <c r="AB13" s="51" t="s">
        <v>152</v>
      </c>
      <c r="AC13" s="51">
        <f t="shared" si="5"/>
        <v>14</v>
      </c>
      <c r="AD13" s="63">
        <f t="shared" si="6"/>
        <v>1422.2142857142858</v>
      </c>
      <c r="AE13" s="76">
        <f t="shared" si="7"/>
        <v>25.125438566671384</v>
      </c>
    </row>
    <row r="14" spans="1:36" ht="15" customHeight="1" x14ac:dyDescent="0.35">
      <c r="A14" s="50"/>
      <c r="B14" s="75">
        <v>42675</v>
      </c>
      <c r="C14" s="51" t="s">
        <v>184</v>
      </c>
      <c r="D14" s="56">
        <v>24347</v>
      </c>
      <c r="E14" s="56">
        <v>959293.04</v>
      </c>
      <c r="F14" s="55">
        <v>2009</v>
      </c>
      <c r="G14" s="55">
        <f t="shared" si="0"/>
        <v>15</v>
      </c>
      <c r="H14" s="57">
        <f>VLOOKUP(B14,'[1]SERVIS SUMM'!A$1:E$48,5,FALSE)</f>
        <v>4.5</v>
      </c>
      <c r="I14" s="57">
        <f t="shared" si="1"/>
        <v>2</v>
      </c>
      <c r="J14" s="58">
        <f t="shared" si="2"/>
        <v>2.4346999999999999</v>
      </c>
      <c r="K14" s="58">
        <v>5</v>
      </c>
      <c r="L14" s="59">
        <f t="shared" si="3"/>
        <v>0.13920355348351116</v>
      </c>
      <c r="M14" s="60">
        <f t="shared" si="4"/>
        <v>0.69601776741755583</v>
      </c>
      <c r="N14" s="61" t="s">
        <v>54</v>
      </c>
      <c r="O14" s="55" t="s">
        <v>71</v>
      </c>
      <c r="P14" s="55" t="s">
        <v>164</v>
      </c>
      <c r="Q14" s="61" t="s">
        <v>44</v>
      </c>
      <c r="R14" s="61" t="s">
        <v>108</v>
      </c>
      <c r="S14" s="61" t="s">
        <v>109</v>
      </c>
      <c r="T14" s="61" t="s">
        <v>122</v>
      </c>
      <c r="U14" s="52">
        <v>959293.04</v>
      </c>
      <c r="V14" s="53" t="s">
        <v>150</v>
      </c>
      <c r="W14" s="54">
        <f>U14</f>
        <v>959293.04</v>
      </c>
      <c r="X14" s="53">
        <v>24347</v>
      </c>
      <c r="Y14" s="62">
        <v>133537</v>
      </c>
      <c r="Z14" s="61" t="s">
        <v>126</v>
      </c>
      <c r="AA14" s="50"/>
      <c r="AB14" s="51" t="s">
        <v>152</v>
      </c>
      <c r="AC14" s="51">
        <f t="shared" si="5"/>
        <v>14</v>
      </c>
      <c r="AD14" s="63">
        <f t="shared" si="6"/>
        <v>1739.0714285714287</v>
      </c>
      <c r="AE14" s="76">
        <f t="shared" si="7"/>
        <v>25.130717767417558</v>
      </c>
    </row>
    <row r="15" spans="1:36" ht="15" customHeight="1" x14ac:dyDescent="0.35">
      <c r="A15" s="50"/>
      <c r="B15" s="75">
        <v>42525</v>
      </c>
      <c r="C15" s="51" t="s">
        <v>184</v>
      </c>
      <c r="D15" s="56">
        <v>6429</v>
      </c>
      <c r="E15" s="56">
        <v>926792.96952798241</v>
      </c>
      <c r="F15" s="55">
        <v>2007</v>
      </c>
      <c r="G15" s="55">
        <f t="shared" si="0"/>
        <v>17</v>
      </c>
      <c r="H15" s="57">
        <f>VLOOKUP(B15,'[1]SERVIS SUMM'!A$1:E$48,5,FALSE)</f>
        <v>2.3333333333333335</v>
      </c>
      <c r="I15" s="57">
        <f t="shared" si="1"/>
        <v>1</v>
      </c>
      <c r="J15" s="58">
        <f t="shared" si="2"/>
        <v>0.64290000000000003</v>
      </c>
      <c r="K15" s="58">
        <v>5</v>
      </c>
      <c r="L15" s="59">
        <f t="shared" si="3"/>
        <v>0.29881107119429712</v>
      </c>
      <c r="M15" s="60">
        <f t="shared" si="4"/>
        <v>1.4940553559714858</v>
      </c>
      <c r="N15" s="61" t="s">
        <v>54</v>
      </c>
      <c r="O15" s="55" t="s">
        <v>51</v>
      </c>
      <c r="P15" s="55" t="s">
        <v>164</v>
      </c>
      <c r="Q15" s="61" t="s">
        <v>24</v>
      </c>
      <c r="R15" s="61" t="s">
        <v>72</v>
      </c>
      <c r="S15" s="61" t="s">
        <v>73</v>
      </c>
      <c r="T15" s="61" t="s">
        <v>122</v>
      </c>
      <c r="U15" s="52">
        <v>27920565</v>
      </c>
      <c r="V15" s="53" t="s">
        <v>149</v>
      </c>
      <c r="W15" s="54">
        <f>U15/30.126</f>
        <v>926792.96952798241</v>
      </c>
      <c r="X15" s="53">
        <v>6429</v>
      </c>
      <c r="Y15" s="62">
        <v>276936</v>
      </c>
      <c r="Z15" s="61" t="s">
        <v>126</v>
      </c>
      <c r="AA15" s="50"/>
      <c r="AB15" s="51" t="s">
        <v>152</v>
      </c>
      <c r="AC15" s="51">
        <f t="shared" si="5"/>
        <v>16</v>
      </c>
      <c r="AD15" s="63">
        <f t="shared" si="6"/>
        <v>401.8125</v>
      </c>
      <c r="AE15" s="76">
        <f t="shared" si="7"/>
        <v>25.136955355971487</v>
      </c>
    </row>
    <row r="16" spans="1:36" ht="15" customHeight="1" x14ac:dyDescent="0.35">
      <c r="A16" s="50"/>
      <c r="B16" s="75">
        <v>42682</v>
      </c>
      <c r="C16" s="51" t="s">
        <v>184</v>
      </c>
      <c r="D16" s="56">
        <v>25572</v>
      </c>
      <c r="E16" s="56">
        <v>959293.03</v>
      </c>
      <c r="F16" s="55">
        <v>2009</v>
      </c>
      <c r="G16" s="55">
        <f t="shared" si="0"/>
        <v>15</v>
      </c>
      <c r="H16" s="57">
        <f>VLOOKUP(B16,'[1]SERVIS SUMM'!A$1:E$48,5,FALSE)</f>
        <v>4.333333333333333</v>
      </c>
      <c r="I16" s="57">
        <f t="shared" si="1"/>
        <v>2</v>
      </c>
      <c r="J16" s="58">
        <f t="shared" si="2"/>
        <v>2.5571999999999999</v>
      </c>
      <c r="K16" s="58">
        <v>5</v>
      </c>
      <c r="L16" s="59">
        <f t="shared" si="3"/>
        <v>0.14132282395505363</v>
      </c>
      <c r="M16" s="60">
        <f t="shared" si="4"/>
        <v>0.70661411977526822</v>
      </c>
      <c r="N16" s="61" t="s">
        <v>54</v>
      </c>
      <c r="O16" s="55" t="s">
        <v>51</v>
      </c>
      <c r="P16" s="55" t="s">
        <v>164</v>
      </c>
      <c r="Q16" s="61" t="s">
        <v>9</v>
      </c>
      <c r="R16" s="61" t="s">
        <v>94</v>
      </c>
      <c r="S16" s="61" t="s">
        <v>95</v>
      </c>
      <c r="T16" s="61" t="s">
        <v>122</v>
      </c>
      <c r="U16" s="52">
        <v>959293.03</v>
      </c>
      <c r="V16" s="53" t="s">
        <v>150</v>
      </c>
      <c r="W16" s="54">
        <f>U16</f>
        <v>959293.03</v>
      </c>
      <c r="X16" s="53">
        <v>25572</v>
      </c>
      <c r="Y16" s="62">
        <v>135570</v>
      </c>
      <c r="Z16" s="61" t="s">
        <v>126</v>
      </c>
      <c r="AA16" s="50"/>
      <c r="AB16" s="51" t="s">
        <v>152</v>
      </c>
      <c r="AC16" s="51">
        <f t="shared" si="5"/>
        <v>14</v>
      </c>
      <c r="AD16" s="63">
        <f t="shared" si="6"/>
        <v>1826.5714285714287</v>
      </c>
      <c r="AE16" s="76">
        <f t="shared" si="7"/>
        <v>25.263814119775269</v>
      </c>
    </row>
    <row r="17" spans="1:31" ht="15" customHeight="1" x14ac:dyDescent="0.35">
      <c r="A17" s="50"/>
      <c r="B17" s="75">
        <v>42850</v>
      </c>
      <c r="C17" s="51" t="s">
        <v>184</v>
      </c>
      <c r="D17" s="56">
        <v>16269</v>
      </c>
      <c r="E17" s="56">
        <v>928699.8</v>
      </c>
      <c r="F17" s="55">
        <v>2009</v>
      </c>
      <c r="G17" s="55">
        <f t="shared" si="0"/>
        <v>15</v>
      </c>
      <c r="H17" s="57">
        <f>VLOOKUP(B17,'[1]SERVIS SUMM'!A$1:E$48,5,FALSE)</f>
        <v>5.333333333333333</v>
      </c>
      <c r="I17" s="57">
        <f t="shared" si="1"/>
        <v>2</v>
      </c>
      <c r="J17" s="58">
        <f t="shared" si="2"/>
        <v>1.6269</v>
      </c>
      <c r="K17" s="58">
        <v>5</v>
      </c>
      <c r="L17" s="59">
        <f t="shared" si="3"/>
        <v>0.35943046396693529</v>
      </c>
      <c r="M17" s="60">
        <f t="shared" si="4"/>
        <v>1.7971523198346766</v>
      </c>
      <c r="N17" s="61" t="s">
        <v>89</v>
      </c>
      <c r="O17" s="55" t="s">
        <v>87</v>
      </c>
      <c r="P17" s="55" t="s">
        <v>164</v>
      </c>
      <c r="Q17" s="61" t="s">
        <v>28</v>
      </c>
      <c r="R17" s="61" t="s">
        <v>92</v>
      </c>
      <c r="S17" s="61" t="s">
        <v>93</v>
      </c>
      <c r="T17" s="61" t="s">
        <v>123</v>
      </c>
      <c r="U17" s="52">
        <v>928699.8</v>
      </c>
      <c r="V17" s="53" t="s">
        <v>150</v>
      </c>
      <c r="W17" s="54">
        <f>U17</f>
        <v>928699.8</v>
      </c>
      <c r="X17" s="53">
        <v>16269</v>
      </c>
      <c r="Y17" s="62">
        <v>333803</v>
      </c>
      <c r="Z17" s="61" t="s">
        <v>126</v>
      </c>
      <c r="AA17" s="50"/>
      <c r="AB17" s="51" t="s">
        <v>152</v>
      </c>
      <c r="AC17" s="51">
        <f t="shared" si="5"/>
        <v>14</v>
      </c>
      <c r="AD17" s="63">
        <f t="shared" si="6"/>
        <v>1162.0714285714287</v>
      </c>
      <c r="AE17" s="76">
        <f t="shared" si="7"/>
        <v>25.424052319834676</v>
      </c>
    </row>
    <row r="18" spans="1:31" ht="15" customHeight="1" x14ac:dyDescent="0.35">
      <c r="A18" s="50"/>
      <c r="B18" s="75">
        <v>42859</v>
      </c>
      <c r="C18" s="51" t="s">
        <v>125</v>
      </c>
      <c r="D18" s="56">
        <v>24065</v>
      </c>
      <c r="E18" s="56">
        <v>928699.8</v>
      </c>
      <c r="F18" s="55">
        <v>2009</v>
      </c>
      <c r="G18" s="55">
        <f t="shared" si="0"/>
        <v>15</v>
      </c>
      <c r="H18" s="57">
        <f>VLOOKUP(B18,'[1]SERVIS SUMM'!A$1:E$48,5,FALSE)</f>
        <v>5.666666666666667</v>
      </c>
      <c r="I18" s="57">
        <f t="shared" si="1"/>
        <v>2</v>
      </c>
      <c r="J18" s="58">
        <f t="shared" si="2"/>
        <v>2.4064999999999999</v>
      </c>
      <c r="K18" s="58">
        <v>5</v>
      </c>
      <c r="L18" s="59">
        <f t="shared" si="3"/>
        <v>0.23469801544051155</v>
      </c>
      <c r="M18" s="60">
        <f t="shared" si="4"/>
        <v>1.1734900772025578</v>
      </c>
      <c r="N18" s="61" t="s">
        <v>89</v>
      </c>
      <c r="O18" s="55" t="s">
        <v>105</v>
      </c>
      <c r="P18" s="55" t="s">
        <v>164</v>
      </c>
      <c r="Q18" s="61" t="s">
        <v>35</v>
      </c>
      <c r="R18" s="61" t="s">
        <v>106</v>
      </c>
      <c r="S18" s="61" t="s">
        <v>107</v>
      </c>
      <c r="T18" s="61" t="s">
        <v>123</v>
      </c>
      <c r="U18" s="52">
        <v>928699.8</v>
      </c>
      <c r="V18" s="53" t="s">
        <v>150</v>
      </c>
      <c r="W18" s="54">
        <f>U18</f>
        <v>928699.8</v>
      </c>
      <c r="X18" s="53">
        <v>24065</v>
      </c>
      <c r="Y18" s="62">
        <v>217964</v>
      </c>
      <c r="Z18" s="64" t="s">
        <v>142</v>
      </c>
      <c r="AA18" s="50"/>
      <c r="AB18" s="51"/>
      <c r="AC18" s="51">
        <f t="shared" si="5"/>
        <v>14</v>
      </c>
      <c r="AD18" s="63">
        <f t="shared" si="6"/>
        <v>1718.9285714285713</v>
      </c>
      <c r="AE18" s="76">
        <f t="shared" si="7"/>
        <v>25.579990077202559</v>
      </c>
    </row>
    <row r="19" spans="1:31" ht="15" customHeight="1" x14ac:dyDescent="0.35">
      <c r="A19" s="50"/>
      <c r="B19" s="75">
        <v>42542</v>
      </c>
      <c r="C19" s="51" t="s">
        <v>184</v>
      </c>
      <c r="D19" s="56">
        <v>21455</v>
      </c>
      <c r="E19" s="56">
        <v>926792.96952798241</v>
      </c>
      <c r="F19" s="55">
        <v>2007</v>
      </c>
      <c r="G19" s="55">
        <f t="shared" si="0"/>
        <v>17</v>
      </c>
      <c r="H19" s="57">
        <f>VLOOKUP(B19,'[1]SERVIS SUMM'!A$1:E$48,5,FALSE)</f>
        <v>2.6666666666666665</v>
      </c>
      <c r="I19" s="57">
        <f t="shared" si="1"/>
        <v>1</v>
      </c>
      <c r="J19" s="58">
        <f t="shared" si="2"/>
        <v>2.1455000000000002</v>
      </c>
      <c r="K19" s="58">
        <v>5</v>
      </c>
      <c r="L19" s="59">
        <f t="shared" si="3"/>
        <v>0.12165823836301308</v>
      </c>
      <c r="M19" s="60">
        <f t="shared" si="4"/>
        <v>0.60829119181506541</v>
      </c>
      <c r="N19" s="61" t="s">
        <v>54</v>
      </c>
      <c r="O19" s="55" t="s">
        <v>61</v>
      </c>
      <c r="P19" s="55" t="s">
        <v>164</v>
      </c>
      <c r="Q19" s="61" t="s">
        <v>76</v>
      </c>
      <c r="R19" s="61" t="s">
        <v>79</v>
      </c>
      <c r="S19" s="61" t="s">
        <v>80</v>
      </c>
      <c r="T19" s="61" t="s">
        <v>122</v>
      </c>
      <c r="U19" s="52">
        <v>27920565</v>
      </c>
      <c r="V19" s="53" t="s">
        <v>149</v>
      </c>
      <c r="W19" s="54">
        <f>U19/30.126</f>
        <v>926792.96952798241</v>
      </c>
      <c r="X19" s="53">
        <v>21455</v>
      </c>
      <c r="Y19" s="62">
        <v>112752</v>
      </c>
      <c r="Z19" s="61" t="s">
        <v>136</v>
      </c>
      <c r="AA19" s="50"/>
      <c r="AB19" s="51" t="s">
        <v>152</v>
      </c>
      <c r="AC19" s="51">
        <f t="shared" si="5"/>
        <v>16</v>
      </c>
      <c r="AD19" s="63">
        <f t="shared" si="6"/>
        <v>1340.9375</v>
      </c>
      <c r="AE19" s="76">
        <f t="shared" si="7"/>
        <v>25.753791191815065</v>
      </c>
    </row>
    <row r="20" spans="1:31" ht="15" customHeight="1" x14ac:dyDescent="0.35">
      <c r="A20" s="50"/>
      <c r="B20" s="75">
        <v>42528</v>
      </c>
      <c r="C20" s="51" t="s">
        <v>184</v>
      </c>
      <c r="D20" s="56">
        <v>26023</v>
      </c>
      <c r="E20" s="56">
        <v>926792.96952798241</v>
      </c>
      <c r="F20" s="55">
        <v>2007</v>
      </c>
      <c r="G20" s="55">
        <f t="shared" si="0"/>
        <v>17</v>
      </c>
      <c r="H20" s="57">
        <f>VLOOKUP(B20,'[1]SERVIS SUMM'!A$1:E$48,5,FALSE)</f>
        <v>3.3333333333333335</v>
      </c>
      <c r="I20" s="57">
        <f t="shared" si="1"/>
        <v>1</v>
      </c>
      <c r="J20" s="58">
        <f t="shared" si="2"/>
        <v>2.6023000000000001</v>
      </c>
      <c r="K20" s="58">
        <v>5</v>
      </c>
      <c r="L20" s="59">
        <f t="shared" si="3"/>
        <v>3.8750833444810305E-2</v>
      </c>
      <c r="M20" s="60">
        <f t="shared" si="4"/>
        <v>0.19375416722405153</v>
      </c>
      <c r="N20" s="61" t="s">
        <v>54</v>
      </c>
      <c r="O20" s="55" t="s">
        <v>61</v>
      </c>
      <c r="P20" s="55" t="s">
        <v>164</v>
      </c>
      <c r="Q20" s="61" t="s">
        <v>76</v>
      </c>
      <c r="R20" s="61" t="s">
        <v>77</v>
      </c>
      <c r="S20" s="61" t="s">
        <v>78</v>
      </c>
      <c r="T20" s="61" t="s">
        <v>122</v>
      </c>
      <c r="U20" s="52">
        <v>27920565</v>
      </c>
      <c r="V20" s="53" t="s">
        <v>149</v>
      </c>
      <c r="W20" s="54">
        <f>U20/30.126</f>
        <v>926792.96952798241</v>
      </c>
      <c r="X20" s="53">
        <v>26023</v>
      </c>
      <c r="Y20" s="62">
        <v>35914</v>
      </c>
      <c r="Z20" s="61" t="s">
        <v>136</v>
      </c>
      <c r="AA20" s="50"/>
      <c r="AB20" s="51" t="s">
        <v>152</v>
      </c>
      <c r="AC20" s="51">
        <f t="shared" si="5"/>
        <v>16</v>
      </c>
      <c r="AD20" s="63">
        <f t="shared" si="6"/>
        <v>1626.4375</v>
      </c>
      <c r="AE20" s="76">
        <f t="shared" si="7"/>
        <v>25.79605416722405</v>
      </c>
    </row>
    <row r="21" spans="1:31" ht="15" customHeight="1" x14ac:dyDescent="0.35">
      <c r="A21" s="50"/>
      <c r="B21" s="75">
        <v>42534</v>
      </c>
      <c r="C21" s="51" t="s">
        <v>184</v>
      </c>
      <c r="D21" s="56">
        <v>27358</v>
      </c>
      <c r="E21" s="56">
        <v>926792.96952798241</v>
      </c>
      <c r="F21" s="55">
        <v>2007</v>
      </c>
      <c r="G21" s="55">
        <f t="shared" si="0"/>
        <v>17</v>
      </c>
      <c r="H21" s="57">
        <f>VLOOKUP(B21,'[1]SERVIS SUMM'!A$1:E$48,5,FALSE)</f>
        <v>3</v>
      </c>
      <c r="I21" s="57">
        <f t="shared" si="1"/>
        <v>1</v>
      </c>
      <c r="J21" s="58">
        <f t="shared" si="2"/>
        <v>2.7357999999999998</v>
      </c>
      <c r="K21" s="58">
        <v>5</v>
      </c>
      <c r="L21" s="59">
        <f t="shared" si="3"/>
        <v>2.5806194896127642E-2</v>
      </c>
      <c r="M21" s="60">
        <f t="shared" si="4"/>
        <v>0.12903097448063822</v>
      </c>
      <c r="N21" s="61" t="s">
        <v>54</v>
      </c>
      <c r="O21" s="55" t="s">
        <v>51</v>
      </c>
      <c r="P21" s="55" t="s">
        <v>164</v>
      </c>
      <c r="Q21" s="61" t="s">
        <v>58</v>
      </c>
      <c r="R21" s="61" t="s">
        <v>74</v>
      </c>
      <c r="S21" s="61" t="s">
        <v>75</v>
      </c>
      <c r="T21" s="61" t="s">
        <v>120</v>
      </c>
      <c r="U21" s="52">
        <v>27920565</v>
      </c>
      <c r="V21" s="53" t="s">
        <v>149</v>
      </c>
      <c r="W21" s="54">
        <f>U21/30.126</f>
        <v>926792.96952798241</v>
      </c>
      <c r="X21" s="53">
        <v>27358</v>
      </c>
      <c r="Y21" s="62">
        <v>23917</v>
      </c>
      <c r="Z21" s="61" t="s">
        <v>126</v>
      </c>
      <c r="AA21" s="50"/>
      <c r="AB21" s="51" t="s">
        <v>152</v>
      </c>
      <c r="AC21" s="51">
        <f t="shared" si="5"/>
        <v>16</v>
      </c>
      <c r="AD21" s="63">
        <f t="shared" si="6"/>
        <v>1709.875</v>
      </c>
      <c r="AE21" s="76">
        <f t="shared" si="7"/>
        <v>25.86483097448064</v>
      </c>
    </row>
    <row r="22" spans="1:31" ht="15" customHeight="1" x14ac:dyDescent="0.35">
      <c r="A22" s="50"/>
      <c r="B22" s="75">
        <v>42509</v>
      </c>
      <c r="C22" s="51" t="s">
        <v>125</v>
      </c>
      <c r="D22" s="56">
        <v>24961</v>
      </c>
      <c r="E22" s="56">
        <v>926792.96952798241</v>
      </c>
      <c r="F22" s="55">
        <v>2007</v>
      </c>
      <c r="G22" s="55">
        <f t="shared" si="0"/>
        <v>17</v>
      </c>
      <c r="H22" s="57">
        <f>VLOOKUP(B22,'[1]SERVIS SUMM'!A$1:E$48,5,FALSE)</f>
        <v>3.3333333333333335</v>
      </c>
      <c r="I22" s="57">
        <f t="shared" si="1"/>
        <v>1</v>
      </c>
      <c r="J22" s="58">
        <f t="shared" si="2"/>
        <v>2.4961000000000002</v>
      </c>
      <c r="K22" s="58">
        <v>5</v>
      </c>
      <c r="L22" s="59">
        <f t="shared" si="3"/>
        <v>9.3756645612293313E-2</v>
      </c>
      <c r="M22" s="60">
        <f t="shared" si="4"/>
        <v>0.46878322806146655</v>
      </c>
      <c r="N22" s="61" t="s">
        <v>54</v>
      </c>
      <c r="O22" s="55" t="s">
        <v>61</v>
      </c>
      <c r="P22" s="55" t="s">
        <v>164</v>
      </c>
      <c r="Q22" s="61" t="s">
        <v>35</v>
      </c>
      <c r="R22" s="61" t="s">
        <v>81</v>
      </c>
      <c r="S22" s="61" t="s">
        <v>82</v>
      </c>
      <c r="T22" s="61" t="s">
        <v>122</v>
      </c>
      <c r="U22" s="52">
        <v>27920565</v>
      </c>
      <c r="V22" s="53" t="s">
        <v>149</v>
      </c>
      <c r="W22" s="54">
        <f>U22/30.126</f>
        <v>926792.96952798241</v>
      </c>
      <c r="X22" s="53">
        <v>24961</v>
      </c>
      <c r="Y22" s="62">
        <v>86893</v>
      </c>
      <c r="Z22" s="64" t="s">
        <v>137</v>
      </c>
      <c r="AA22" s="50"/>
      <c r="AB22" s="51"/>
      <c r="AC22" s="51">
        <f t="shared" si="5"/>
        <v>16</v>
      </c>
      <c r="AD22" s="63">
        <f t="shared" si="6"/>
        <v>1560.0625</v>
      </c>
      <c r="AE22" s="76">
        <f t="shared" si="7"/>
        <v>25.964883228061467</v>
      </c>
    </row>
    <row r="23" spans="1:31" ht="15" customHeight="1" x14ac:dyDescent="0.35">
      <c r="A23" s="50"/>
      <c r="B23" s="75">
        <v>42849</v>
      </c>
      <c r="C23" s="51" t="s">
        <v>184</v>
      </c>
      <c r="D23" s="56">
        <v>21161</v>
      </c>
      <c r="E23" s="56">
        <v>928699.8</v>
      </c>
      <c r="F23" s="55">
        <v>2009</v>
      </c>
      <c r="G23" s="55">
        <f t="shared" si="0"/>
        <v>15</v>
      </c>
      <c r="H23" s="57">
        <f>VLOOKUP(B23,'[1]SERVIS SUMM'!A$1:E$48,5,FALSE)</f>
        <v>4.333333333333333</v>
      </c>
      <c r="I23" s="57">
        <f t="shared" si="1"/>
        <v>2</v>
      </c>
      <c r="J23" s="58">
        <f t="shared" si="2"/>
        <v>2.1160999999999999</v>
      </c>
      <c r="K23" s="58">
        <v>5</v>
      </c>
      <c r="L23" s="59">
        <f t="shared" si="3"/>
        <v>0.48404662087791983</v>
      </c>
      <c r="M23" s="60">
        <f t="shared" si="4"/>
        <v>2.4202331043895993</v>
      </c>
      <c r="N23" s="61" t="s">
        <v>89</v>
      </c>
      <c r="O23" s="55" t="s">
        <v>87</v>
      </c>
      <c r="P23" s="55" t="s">
        <v>164</v>
      </c>
      <c r="Q23" s="61" t="s">
        <v>62</v>
      </c>
      <c r="R23" s="61" t="s">
        <v>85</v>
      </c>
      <c r="S23" s="61" t="s">
        <v>88</v>
      </c>
      <c r="T23" s="61" t="s">
        <v>123</v>
      </c>
      <c r="U23" s="52">
        <v>928699.8</v>
      </c>
      <c r="V23" s="53" t="s">
        <v>150</v>
      </c>
      <c r="W23" s="54">
        <f>U23</f>
        <v>928699.8</v>
      </c>
      <c r="X23" s="53">
        <v>21161</v>
      </c>
      <c r="Y23" s="62">
        <v>449534</v>
      </c>
      <c r="Z23" s="61" t="s">
        <v>126</v>
      </c>
      <c r="AA23" s="50"/>
      <c r="AB23" s="51" t="s">
        <v>152</v>
      </c>
      <c r="AC23" s="51">
        <f t="shared" si="5"/>
        <v>14</v>
      </c>
      <c r="AD23" s="63">
        <f t="shared" si="6"/>
        <v>1511.5</v>
      </c>
      <c r="AE23" s="76">
        <f t="shared" si="7"/>
        <v>26.536333104389598</v>
      </c>
    </row>
    <row r="24" spans="1:31" ht="15" customHeight="1" x14ac:dyDescent="0.35">
      <c r="A24" s="50"/>
      <c r="B24" s="75">
        <v>42529</v>
      </c>
      <c r="C24" s="51" t="s">
        <v>125</v>
      </c>
      <c r="D24" s="56">
        <v>29312</v>
      </c>
      <c r="E24" s="56">
        <v>926792.96952798241</v>
      </c>
      <c r="F24" s="55">
        <v>2007</v>
      </c>
      <c r="G24" s="55">
        <f t="shared" si="0"/>
        <v>17</v>
      </c>
      <c r="H24" s="57">
        <f>VLOOKUP(B24,'[1]SERVIS SUMM'!A$1:E$48,5,FALSE)</f>
        <v>3.6666666666666665</v>
      </c>
      <c r="I24" s="57">
        <f t="shared" si="1"/>
        <v>1</v>
      </c>
      <c r="J24" s="58">
        <f t="shared" si="2"/>
        <v>2.9312</v>
      </c>
      <c r="K24" s="58">
        <v>5</v>
      </c>
      <c r="L24" s="59">
        <f t="shared" si="3"/>
        <v>0.12467833032748443</v>
      </c>
      <c r="M24" s="60">
        <f t="shared" si="4"/>
        <v>0.62339165163742216</v>
      </c>
      <c r="N24" s="61" t="s">
        <v>54</v>
      </c>
      <c r="O24" s="55" t="s">
        <v>61</v>
      </c>
      <c r="P24" s="55" t="s">
        <v>164</v>
      </c>
      <c r="Q24" s="61" t="s">
        <v>62</v>
      </c>
      <c r="R24" s="61" t="s">
        <v>63</v>
      </c>
      <c r="S24" s="61" t="s">
        <v>64</v>
      </c>
      <c r="T24" s="61" t="s">
        <v>122</v>
      </c>
      <c r="U24" s="52">
        <v>27920565</v>
      </c>
      <c r="V24" s="53" t="s">
        <v>149</v>
      </c>
      <c r="W24" s="54">
        <f t="shared" ref="W24:W30" si="8">U24/30.126</f>
        <v>926792.96952798241</v>
      </c>
      <c r="X24" s="53">
        <v>29312</v>
      </c>
      <c r="Y24" s="62">
        <v>115551</v>
      </c>
      <c r="Z24" s="64" t="s">
        <v>65</v>
      </c>
      <c r="AA24" s="50"/>
      <c r="AB24" s="51"/>
      <c r="AC24" s="51">
        <f t="shared" si="5"/>
        <v>16</v>
      </c>
      <c r="AD24" s="63">
        <f t="shared" si="6"/>
        <v>1832</v>
      </c>
      <c r="AE24" s="76">
        <f t="shared" si="7"/>
        <v>26.554591651637423</v>
      </c>
    </row>
    <row r="25" spans="1:31" ht="15" customHeight="1" x14ac:dyDescent="0.35">
      <c r="A25" s="50"/>
      <c r="B25" s="75">
        <v>42506</v>
      </c>
      <c r="C25" s="51" t="s">
        <v>184</v>
      </c>
      <c r="D25" s="56">
        <v>29483</v>
      </c>
      <c r="E25" s="56">
        <v>926792.96952798241</v>
      </c>
      <c r="F25" s="55">
        <v>2008</v>
      </c>
      <c r="G25" s="55">
        <f t="shared" si="0"/>
        <v>16</v>
      </c>
      <c r="H25" s="57">
        <f>VLOOKUP(B25,'[1]SERVIS SUMM'!A$1:E$48,5,FALSE)</f>
        <v>4</v>
      </c>
      <c r="I25" s="57">
        <f t="shared" si="1"/>
        <v>2</v>
      </c>
      <c r="J25" s="58">
        <f t="shared" si="2"/>
        <v>2.9483000000000001</v>
      </c>
      <c r="K25" s="58">
        <v>5</v>
      </c>
      <c r="L25" s="59">
        <f t="shared" si="3"/>
        <v>0.13738990711685098</v>
      </c>
      <c r="M25" s="60">
        <f t="shared" si="4"/>
        <v>0.68694953558425487</v>
      </c>
      <c r="N25" s="61" t="s">
        <v>54</v>
      </c>
      <c r="O25" s="55" t="s">
        <v>61</v>
      </c>
      <c r="P25" s="55" t="s">
        <v>164</v>
      </c>
      <c r="Q25" s="61" t="s">
        <v>9</v>
      </c>
      <c r="R25" s="61" t="s">
        <v>10</v>
      </c>
      <c r="S25" s="61" t="s">
        <v>83</v>
      </c>
      <c r="T25" s="61" t="s">
        <v>121</v>
      </c>
      <c r="U25" s="52">
        <v>27920565</v>
      </c>
      <c r="V25" s="53" t="s">
        <v>149</v>
      </c>
      <c r="W25" s="54">
        <f t="shared" si="8"/>
        <v>926792.96952798241</v>
      </c>
      <c r="X25" s="53">
        <v>29483</v>
      </c>
      <c r="Y25" s="62">
        <v>127332</v>
      </c>
      <c r="Z25" s="61" t="s">
        <v>126</v>
      </c>
      <c r="AA25" s="50"/>
      <c r="AB25" s="51" t="s">
        <v>152</v>
      </c>
      <c r="AC25" s="51">
        <f t="shared" si="5"/>
        <v>15</v>
      </c>
      <c r="AD25" s="63">
        <f t="shared" si="6"/>
        <v>1965.5333333333333</v>
      </c>
      <c r="AE25" s="76">
        <f t="shared" si="7"/>
        <v>26.635249535584254</v>
      </c>
    </row>
    <row r="26" spans="1:31" ht="15" customHeight="1" x14ac:dyDescent="0.35">
      <c r="A26" s="50"/>
      <c r="B26" s="75">
        <v>42482</v>
      </c>
      <c r="C26" s="51" t="s">
        <v>184</v>
      </c>
      <c r="D26" s="56">
        <v>32446</v>
      </c>
      <c r="E26" s="56">
        <v>926792.96952798241</v>
      </c>
      <c r="F26" s="55">
        <v>2007</v>
      </c>
      <c r="G26" s="55">
        <f t="shared" si="0"/>
        <v>17</v>
      </c>
      <c r="H26" s="57">
        <f>VLOOKUP(B26,'[1]SERVIS SUMM'!A$1:E$48,5,FALSE)</f>
        <v>3.6666666666666665</v>
      </c>
      <c r="I26" s="57">
        <f t="shared" si="1"/>
        <v>1</v>
      </c>
      <c r="J26" s="58">
        <f t="shared" si="2"/>
        <v>3.2446000000000002</v>
      </c>
      <c r="K26" s="58">
        <v>5</v>
      </c>
      <c r="L26" s="59">
        <f t="shared" si="3"/>
        <v>9.4939218242897305E-2</v>
      </c>
      <c r="M26" s="60">
        <f t="shared" si="4"/>
        <v>0.47469609121448653</v>
      </c>
      <c r="N26" s="61" t="s">
        <v>54</v>
      </c>
      <c r="O26" s="55" t="s">
        <v>71</v>
      </c>
      <c r="P26" s="55" t="s">
        <v>164</v>
      </c>
      <c r="Q26" s="61" t="s">
        <v>9</v>
      </c>
      <c r="R26" s="61" t="s">
        <v>14</v>
      </c>
      <c r="S26" s="61" t="s">
        <v>47</v>
      </c>
      <c r="T26" s="61" t="s">
        <v>121</v>
      </c>
      <c r="U26" s="52">
        <v>27920565</v>
      </c>
      <c r="V26" s="53" t="s">
        <v>149</v>
      </c>
      <c r="W26" s="54">
        <f t="shared" si="8"/>
        <v>926792.96952798241</v>
      </c>
      <c r="X26" s="53">
        <v>32446</v>
      </c>
      <c r="Y26" s="62">
        <v>87989</v>
      </c>
      <c r="Z26" s="61" t="s">
        <v>139</v>
      </c>
      <c r="AA26" s="50"/>
      <c r="AB26" s="51" t="s">
        <v>152</v>
      </c>
      <c r="AC26" s="51">
        <f t="shared" si="5"/>
        <v>16</v>
      </c>
      <c r="AD26" s="63">
        <f t="shared" si="6"/>
        <v>2027.875</v>
      </c>
      <c r="AE26" s="76">
        <f t="shared" si="7"/>
        <v>26.719296091214488</v>
      </c>
    </row>
    <row r="27" spans="1:31" ht="15" customHeight="1" x14ac:dyDescent="0.35">
      <c r="A27" s="50"/>
      <c r="B27" s="75">
        <v>42540</v>
      </c>
      <c r="C27" s="51" t="s">
        <v>125</v>
      </c>
      <c r="D27" s="56">
        <v>33974</v>
      </c>
      <c r="E27" s="56">
        <v>926793.00272190128</v>
      </c>
      <c r="F27" s="55">
        <v>2007</v>
      </c>
      <c r="G27" s="55">
        <f t="shared" si="0"/>
        <v>17</v>
      </c>
      <c r="H27" s="57">
        <f>VLOOKUP(B27,'[1]SERVIS SUMM'!A$1:E$48,5,FALSE)</f>
        <v>3.6666666666666665</v>
      </c>
      <c r="I27" s="57">
        <f t="shared" si="1"/>
        <v>1</v>
      </c>
      <c r="J27" s="58">
        <f t="shared" si="2"/>
        <v>3.3974000000000002</v>
      </c>
      <c r="K27" s="58">
        <v>5</v>
      </c>
      <c r="L27" s="59">
        <f t="shared" si="3"/>
        <v>0.10443324422577967</v>
      </c>
      <c r="M27" s="60">
        <f t="shared" si="4"/>
        <v>0.52216622112889832</v>
      </c>
      <c r="N27" s="61" t="s">
        <v>54</v>
      </c>
      <c r="O27" s="55" t="s">
        <v>61</v>
      </c>
      <c r="P27" s="55" t="s">
        <v>164</v>
      </c>
      <c r="Q27" s="61" t="s">
        <v>28</v>
      </c>
      <c r="R27" s="61" t="s">
        <v>69</v>
      </c>
      <c r="S27" s="61" t="s">
        <v>70</v>
      </c>
      <c r="T27" s="61" t="s">
        <v>122</v>
      </c>
      <c r="U27" s="52">
        <v>27920566</v>
      </c>
      <c r="V27" s="53" t="s">
        <v>149</v>
      </c>
      <c r="W27" s="54">
        <f t="shared" si="8"/>
        <v>926793.00272190128</v>
      </c>
      <c r="X27" s="53">
        <v>33974</v>
      </c>
      <c r="Y27" s="62">
        <v>96788</v>
      </c>
      <c r="Z27" s="64" t="s">
        <v>135</v>
      </c>
      <c r="AA27" s="50"/>
      <c r="AB27" s="51"/>
      <c r="AC27" s="51">
        <f t="shared" si="5"/>
        <v>16</v>
      </c>
      <c r="AD27" s="63">
        <f t="shared" si="6"/>
        <v>2123.375</v>
      </c>
      <c r="AE27" s="76">
        <f t="shared" si="7"/>
        <v>26.9195662211289</v>
      </c>
    </row>
    <row r="28" spans="1:31" ht="15" customHeight="1" x14ac:dyDescent="0.35">
      <c r="A28" s="50"/>
      <c r="B28" s="75">
        <v>42511</v>
      </c>
      <c r="C28" s="51" t="s">
        <v>184</v>
      </c>
      <c r="D28" s="56">
        <v>38636</v>
      </c>
      <c r="E28" s="56">
        <v>926792.96952798241</v>
      </c>
      <c r="F28" s="55">
        <v>2007</v>
      </c>
      <c r="G28" s="55">
        <f t="shared" si="0"/>
        <v>17</v>
      </c>
      <c r="H28" s="57">
        <f>VLOOKUP(B28,'[1]SERVIS SUMM'!A$1:E$48,5,FALSE)</f>
        <v>7.333333333333333</v>
      </c>
      <c r="I28" s="57">
        <f t="shared" si="1"/>
        <v>2</v>
      </c>
      <c r="J28" s="58">
        <f t="shared" si="2"/>
        <v>3.8635999999999999</v>
      </c>
      <c r="K28" s="58">
        <v>5</v>
      </c>
      <c r="L28" s="59">
        <f t="shared" si="3"/>
        <v>0.11490268431172508</v>
      </c>
      <c r="M28" s="60">
        <f t="shared" si="4"/>
        <v>0.57451342155862539</v>
      </c>
      <c r="N28" s="61" t="s">
        <v>54</v>
      </c>
      <c r="O28" s="55" t="s">
        <v>61</v>
      </c>
      <c r="P28" s="55" t="s">
        <v>164</v>
      </c>
      <c r="Q28" s="61" t="s">
        <v>28</v>
      </c>
      <c r="R28" s="61" t="s">
        <v>66</v>
      </c>
      <c r="S28" s="61" t="s">
        <v>67</v>
      </c>
      <c r="T28" s="61" t="s">
        <v>122</v>
      </c>
      <c r="U28" s="52">
        <v>27920565</v>
      </c>
      <c r="V28" s="53" t="s">
        <v>149</v>
      </c>
      <c r="W28" s="54">
        <f t="shared" si="8"/>
        <v>926792.96952798241</v>
      </c>
      <c r="X28" s="53">
        <v>38636</v>
      </c>
      <c r="Y28" s="62">
        <v>106491</v>
      </c>
      <c r="Z28" s="61" t="s">
        <v>126</v>
      </c>
      <c r="AA28" s="50"/>
      <c r="AB28" s="51" t="s">
        <v>152</v>
      </c>
      <c r="AC28" s="51">
        <f t="shared" si="5"/>
        <v>16</v>
      </c>
      <c r="AD28" s="63">
        <f t="shared" si="6"/>
        <v>2414.75</v>
      </c>
      <c r="AE28" s="76">
        <f t="shared" si="7"/>
        <v>28.438113421558626</v>
      </c>
    </row>
    <row r="29" spans="1:31" ht="15" customHeight="1" x14ac:dyDescent="0.35">
      <c r="A29" s="50"/>
      <c r="B29" s="75">
        <v>42249</v>
      </c>
      <c r="C29" s="51" t="s">
        <v>184</v>
      </c>
      <c r="D29" s="56">
        <v>5462</v>
      </c>
      <c r="E29" s="56">
        <v>909513.37714930624</v>
      </c>
      <c r="F29" s="55">
        <v>2004</v>
      </c>
      <c r="G29" s="55">
        <f t="shared" si="0"/>
        <v>20</v>
      </c>
      <c r="H29" s="57">
        <f>VLOOKUP(B29,'[1]SERVIS SUMM'!A$1:E$48,5,FALSE)</f>
        <v>4</v>
      </c>
      <c r="I29" s="57">
        <f t="shared" si="1"/>
        <v>2</v>
      </c>
      <c r="J29" s="58">
        <f t="shared" si="2"/>
        <v>0.54620000000000002</v>
      </c>
      <c r="K29" s="58">
        <v>5</v>
      </c>
      <c r="L29" s="59">
        <f t="shared" si="3"/>
        <v>0.22305444328467153</v>
      </c>
      <c r="M29" s="60">
        <f t="shared" si="4"/>
        <v>1.1152722164233577</v>
      </c>
      <c r="N29" s="61" t="s">
        <v>57</v>
      </c>
      <c r="O29" s="55" t="s">
        <v>55</v>
      </c>
      <c r="P29" s="55" t="s">
        <v>164</v>
      </c>
      <c r="Q29" s="61" t="s">
        <v>24</v>
      </c>
      <c r="R29" s="61" t="s">
        <v>25</v>
      </c>
      <c r="S29" s="61" t="s">
        <v>56</v>
      </c>
      <c r="T29" s="61" t="s">
        <v>123</v>
      </c>
      <c r="U29" s="52">
        <v>27400000</v>
      </c>
      <c r="V29" s="53" t="s">
        <v>149</v>
      </c>
      <c r="W29" s="54">
        <f t="shared" si="8"/>
        <v>909513.37714930624</v>
      </c>
      <c r="X29" s="53">
        <v>5462</v>
      </c>
      <c r="Y29" s="62">
        <v>202871</v>
      </c>
      <c r="Z29" s="61" t="s">
        <v>126</v>
      </c>
      <c r="AA29" s="50"/>
      <c r="AB29" s="51" t="s">
        <v>152</v>
      </c>
      <c r="AC29" s="51">
        <f t="shared" si="5"/>
        <v>19</v>
      </c>
      <c r="AD29" s="63">
        <f t="shared" si="6"/>
        <v>287.4736842105263</v>
      </c>
      <c r="AE29" s="76">
        <f t="shared" si="7"/>
        <v>28.661472216423356</v>
      </c>
    </row>
    <row r="30" spans="1:31" ht="15" customHeight="1" x14ac:dyDescent="0.35">
      <c r="A30" s="50"/>
      <c r="B30" s="75">
        <v>42524</v>
      </c>
      <c r="C30" s="51" t="s">
        <v>125</v>
      </c>
      <c r="D30" s="56">
        <v>46677</v>
      </c>
      <c r="E30" s="56">
        <v>926792.96952798241</v>
      </c>
      <c r="F30" s="55">
        <v>2007</v>
      </c>
      <c r="G30" s="55">
        <f t="shared" si="0"/>
        <v>17</v>
      </c>
      <c r="H30" s="57">
        <f>VLOOKUP(B30,'[1]SERVIS SUMM'!A$1:E$48,5,FALSE)</f>
        <v>4.333333333333333</v>
      </c>
      <c r="I30" s="57">
        <f t="shared" si="1"/>
        <v>2</v>
      </c>
      <c r="J30" s="58">
        <f t="shared" si="2"/>
        <v>4.6677</v>
      </c>
      <c r="K30" s="58">
        <v>5</v>
      </c>
      <c r="L30" s="59">
        <f t="shared" si="3"/>
        <v>3.7105374264453463E-2</v>
      </c>
      <c r="M30" s="60">
        <f t="shared" si="4"/>
        <v>0.18552687132226731</v>
      </c>
      <c r="N30" s="61" t="s">
        <v>54</v>
      </c>
      <c r="O30" s="55" t="s">
        <v>51</v>
      </c>
      <c r="P30" s="55" t="s">
        <v>164</v>
      </c>
      <c r="Q30" s="61" t="s">
        <v>28</v>
      </c>
      <c r="R30" s="61" t="s">
        <v>31</v>
      </c>
      <c r="S30" s="61" t="s">
        <v>68</v>
      </c>
      <c r="T30" s="61" t="s">
        <v>122</v>
      </c>
      <c r="U30" s="52">
        <v>27920565</v>
      </c>
      <c r="V30" s="53" t="s">
        <v>149</v>
      </c>
      <c r="W30" s="54">
        <f t="shared" si="8"/>
        <v>926792.96952798241</v>
      </c>
      <c r="X30" s="53">
        <v>46677</v>
      </c>
      <c r="Y30" s="62">
        <v>34389</v>
      </c>
      <c r="Z30" s="64" t="s">
        <v>125</v>
      </c>
      <c r="AA30" s="50"/>
      <c r="AB30" s="51"/>
      <c r="AC30" s="51">
        <f t="shared" si="5"/>
        <v>16</v>
      </c>
      <c r="AD30" s="63">
        <f t="shared" si="6"/>
        <v>2917.3125</v>
      </c>
      <c r="AE30" s="76">
        <f t="shared" si="7"/>
        <v>28.853226871322267</v>
      </c>
    </row>
    <row r="31" spans="1:31" ht="15" customHeight="1" x14ac:dyDescent="0.35">
      <c r="A31" s="50"/>
      <c r="B31" s="75">
        <v>42685</v>
      </c>
      <c r="C31" s="51" t="s">
        <v>125</v>
      </c>
      <c r="D31" s="56">
        <v>62421</v>
      </c>
      <c r="E31" s="56">
        <v>959293.03</v>
      </c>
      <c r="F31" s="55">
        <v>2009</v>
      </c>
      <c r="G31" s="55">
        <f t="shared" si="0"/>
        <v>15</v>
      </c>
      <c r="H31" s="57">
        <f>VLOOKUP(B31,'[1]SERVIS SUMM'!A$1:E$48,5,FALSE)</f>
        <v>6</v>
      </c>
      <c r="I31" s="57">
        <f t="shared" si="1"/>
        <v>2</v>
      </c>
      <c r="J31" s="58">
        <f t="shared" si="2"/>
        <v>6.2420999999999998</v>
      </c>
      <c r="K31" s="58">
        <v>5</v>
      </c>
      <c r="L31" s="59">
        <f t="shared" si="3"/>
        <v>0.20613513683092224</v>
      </c>
      <c r="M31" s="60">
        <f t="shared" si="4"/>
        <v>1.0306756841546112</v>
      </c>
      <c r="N31" s="61" t="s">
        <v>54</v>
      </c>
      <c r="O31" s="55" t="s">
        <v>84</v>
      </c>
      <c r="P31" s="55" t="s">
        <v>164</v>
      </c>
      <c r="Q31" s="61" t="s">
        <v>62</v>
      </c>
      <c r="R31" s="61" t="s">
        <v>85</v>
      </c>
      <c r="S31" s="61" t="s">
        <v>86</v>
      </c>
      <c r="T31" s="61" t="s">
        <v>123</v>
      </c>
      <c r="U31" s="52">
        <v>959293.03</v>
      </c>
      <c r="V31" s="53" t="s">
        <v>150</v>
      </c>
      <c r="W31" s="54">
        <f>U31</f>
        <v>959293.03</v>
      </c>
      <c r="X31" s="53">
        <v>62421</v>
      </c>
      <c r="Y31" s="62">
        <v>197744</v>
      </c>
      <c r="Z31" s="64" t="s">
        <v>125</v>
      </c>
      <c r="AA31" s="50"/>
      <c r="AB31" s="51"/>
      <c r="AC31" s="51">
        <f t="shared" si="5"/>
        <v>14</v>
      </c>
      <c r="AD31" s="63">
        <f t="shared" si="6"/>
        <v>4458.6428571428569</v>
      </c>
      <c r="AE31" s="76">
        <f t="shared" si="7"/>
        <v>29.27277568415461</v>
      </c>
    </row>
    <row r="32" spans="1:31" ht="15" customHeight="1" x14ac:dyDescent="0.35">
      <c r="A32" s="50"/>
      <c r="B32" s="75">
        <v>42543</v>
      </c>
      <c r="C32" s="51" t="s">
        <v>184</v>
      </c>
      <c r="D32" s="56">
        <v>24595</v>
      </c>
      <c r="E32" s="56">
        <v>926792.96952798241</v>
      </c>
      <c r="F32" s="55">
        <v>2003</v>
      </c>
      <c r="G32" s="55">
        <f t="shared" si="0"/>
        <v>21</v>
      </c>
      <c r="H32" s="57">
        <f>VLOOKUP(B32,'[1]SERVIS SUMM'!A$1:E$48,5,FALSE)</f>
        <v>2.3333333333333335</v>
      </c>
      <c r="I32" s="57">
        <f t="shared" si="1"/>
        <v>1</v>
      </c>
      <c r="J32" s="58">
        <f t="shared" si="2"/>
        <v>2.4594999999999998</v>
      </c>
      <c r="K32" s="58">
        <v>5</v>
      </c>
      <c r="L32" s="59">
        <f t="shared" si="3"/>
        <v>3.0468509072076443E-2</v>
      </c>
      <c r="M32" s="60">
        <f t="shared" si="4"/>
        <v>0.15234254536038222</v>
      </c>
      <c r="N32" s="61" t="s">
        <v>54</v>
      </c>
      <c r="O32" s="55" t="s">
        <v>51</v>
      </c>
      <c r="P32" s="55" t="s">
        <v>164</v>
      </c>
      <c r="Q32" s="61" t="s">
        <v>24</v>
      </c>
      <c r="R32" s="61" t="s">
        <v>52</v>
      </c>
      <c r="S32" s="61" t="s">
        <v>53</v>
      </c>
      <c r="T32" s="61" t="s">
        <v>120</v>
      </c>
      <c r="U32" s="52">
        <v>27920565</v>
      </c>
      <c r="V32" s="53" t="s">
        <v>149</v>
      </c>
      <c r="W32" s="54">
        <f t="shared" ref="W32:W49" si="9">U32/30.126</f>
        <v>926792.96952798241</v>
      </c>
      <c r="X32" s="53">
        <v>24595</v>
      </c>
      <c r="Y32" s="62">
        <v>28238</v>
      </c>
      <c r="Z32" s="61" t="s">
        <v>126</v>
      </c>
      <c r="AA32" s="50"/>
      <c r="AB32" s="51" t="s">
        <v>152</v>
      </c>
      <c r="AC32" s="51">
        <f t="shared" si="5"/>
        <v>20</v>
      </c>
      <c r="AD32" s="63">
        <f t="shared" si="6"/>
        <v>1229.75</v>
      </c>
      <c r="AE32" s="76">
        <f t="shared" si="7"/>
        <v>29.611842545360382</v>
      </c>
    </row>
    <row r="33" spans="1:31" ht="15" customHeight="1" x14ac:dyDescent="0.35">
      <c r="A33" s="50"/>
      <c r="B33" s="75">
        <v>42247</v>
      </c>
      <c r="C33" s="51" t="s">
        <v>184</v>
      </c>
      <c r="D33" s="56">
        <v>21095</v>
      </c>
      <c r="E33" s="56">
        <v>909513.37714930624</v>
      </c>
      <c r="F33" s="55">
        <v>2004</v>
      </c>
      <c r="G33" s="55">
        <f t="shared" si="0"/>
        <v>20</v>
      </c>
      <c r="H33" s="57">
        <f>VLOOKUP(B33,'[1]SERVIS SUMM'!A$1:E$48,5,FALSE)</f>
        <v>4</v>
      </c>
      <c r="I33" s="57">
        <f t="shared" si="1"/>
        <v>2</v>
      </c>
      <c r="J33" s="58">
        <f t="shared" si="2"/>
        <v>2.1095000000000002</v>
      </c>
      <c r="K33" s="58">
        <v>5</v>
      </c>
      <c r="L33" s="59">
        <f t="shared" si="3"/>
        <v>0.21689290664233576</v>
      </c>
      <c r="M33" s="60">
        <f t="shared" si="4"/>
        <v>1.0844645332116789</v>
      </c>
      <c r="N33" s="61" t="s">
        <v>57</v>
      </c>
      <c r="O33" s="55" t="s">
        <v>55</v>
      </c>
      <c r="P33" s="55" t="s">
        <v>164</v>
      </c>
      <c r="Q33" s="61" t="s">
        <v>58</v>
      </c>
      <c r="R33" s="61" t="s">
        <v>59</v>
      </c>
      <c r="S33" s="61" t="s">
        <v>60</v>
      </c>
      <c r="T33" s="61" t="s">
        <v>123</v>
      </c>
      <c r="U33" s="52">
        <v>27400000</v>
      </c>
      <c r="V33" s="53" t="s">
        <v>149</v>
      </c>
      <c r="W33" s="54">
        <f t="shared" si="9"/>
        <v>909513.37714930624</v>
      </c>
      <c r="X33" s="53">
        <v>21095</v>
      </c>
      <c r="Y33" s="62">
        <v>197267</v>
      </c>
      <c r="Z33" s="61" t="s">
        <v>126</v>
      </c>
      <c r="AA33" s="50"/>
      <c r="AB33" s="51" t="s">
        <v>152</v>
      </c>
      <c r="AC33" s="51">
        <f t="shared" si="5"/>
        <v>19</v>
      </c>
      <c r="AD33" s="63">
        <f t="shared" si="6"/>
        <v>1110.2631578947369</v>
      </c>
      <c r="AE33" s="76">
        <f t="shared" si="7"/>
        <v>30.193964533211677</v>
      </c>
    </row>
    <row r="34" spans="1:31" ht="15" customHeight="1" x14ac:dyDescent="0.35">
      <c r="A34" s="50"/>
      <c r="B34" s="75">
        <v>60532</v>
      </c>
      <c r="C34" s="51" t="s">
        <v>184</v>
      </c>
      <c r="D34" s="56">
        <v>18357</v>
      </c>
      <c r="E34" s="56">
        <v>49126.999933612162</v>
      </c>
      <c r="F34" s="55">
        <v>1991</v>
      </c>
      <c r="G34" s="55">
        <f t="shared" si="0"/>
        <v>33</v>
      </c>
      <c r="H34" s="57">
        <f>VLOOKUP(B34,'[1]SERVIS SUMM'!A$1:E$48,5,FALSE)</f>
        <v>3</v>
      </c>
      <c r="I34" s="57">
        <f t="shared" si="1"/>
        <v>1</v>
      </c>
      <c r="J34" s="58">
        <f t="shared" si="2"/>
        <v>1.8357000000000001</v>
      </c>
      <c r="K34" s="58">
        <v>5</v>
      </c>
      <c r="L34" s="59">
        <f t="shared" si="3"/>
        <v>0.59714617297297301</v>
      </c>
      <c r="M34" s="60">
        <f t="shared" si="4"/>
        <v>2.9857308648648653</v>
      </c>
      <c r="N34" s="61" t="s">
        <v>16</v>
      </c>
      <c r="O34" s="55" t="s">
        <v>13</v>
      </c>
      <c r="P34" s="55" t="s">
        <v>163</v>
      </c>
      <c r="Q34" s="61" t="s">
        <v>9</v>
      </c>
      <c r="R34" s="61" t="s">
        <v>14</v>
      </c>
      <c r="S34" s="61" t="s">
        <v>47</v>
      </c>
      <c r="T34" s="61" t="s">
        <v>121</v>
      </c>
      <c r="U34" s="52">
        <v>1480000</v>
      </c>
      <c r="V34" s="53" t="s">
        <v>149</v>
      </c>
      <c r="W34" s="54">
        <f t="shared" si="9"/>
        <v>49126.999933612162</v>
      </c>
      <c r="X34" s="53">
        <v>18357</v>
      </c>
      <c r="Y34" s="62">
        <v>29336</v>
      </c>
      <c r="Z34" s="61" t="s">
        <v>134</v>
      </c>
      <c r="AA34" s="50"/>
      <c r="AB34" s="51" t="s">
        <v>152</v>
      </c>
      <c r="AC34" s="51">
        <f t="shared" si="5"/>
        <v>32</v>
      </c>
      <c r="AD34" s="63">
        <f t="shared" si="6"/>
        <v>573.65625</v>
      </c>
      <c r="AE34" s="76">
        <f t="shared" si="7"/>
        <v>43.821430864864865</v>
      </c>
    </row>
    <row r="35" spans="1:31" ht="15" customHeight="1" x14ac:dyDescent="0.35">
      <c r="A35" s="50"/>
      <c r="B35" s="75">
        <v>60693</v>
      </c>
      <c r="C35" s="51" t="s">
        <v>125</v>
      </c>
      <c r="D35" s="56">
        <v>19351</v>
      </c>
      <c r="E35" s="56">
        <v>657467.61933213833</v>
      </c>
      <c r="F35" s="55">
        <v>1990</v>
      </c>
      <c r="G35" s="55">
        <f t="shared" si="0"/>
        <v>34</v>
      </c>
      <c r="H35" s="57">
        <f>VLOOKUP(B35,'[1]SERVIS SUMM'!A$1:E$48,5,FALSE)</f>
        <v>5</v>
      </c>
      <c r="I35" s="57">
        <f t="shared" si="1"/>
        <v>2</v>
      </c>
      <c r="J35" s="58">
        <f t="shared" si="2"/>
        <v>1.9351</v>
      </c>
      <c r="K35" s="58">
        <v>5</v>
      </c>
      <c r="L35" s="59">
        <f t="shared" si="3"/>
        <v>0.2325148729838403</v>
      </c>
      <c r="M35" s="60">
        <f t="shared" si="4"/>
        <v>1.1625743649192015</v>
      </c>
      <c r="N35" s="61" t="s">
        <v>43</v>
      </c>
      <c r="O35" s="55" t="s">
        <v>40</v>
      </c>
      <c r="P35" s="55" t="s">
        <v>163</v>
      </c>
      <c r="Q35" s="61" t="s">
        <v>35</v>
      </c>
      <c r="R35" s="61" t="s">
        <v>41</v>
      </c>
      <c r="S35" s="61" t="s">
        <v>42</v>
      </c>
      <c r="T35" s="61" t="s">
        <v>122</v>
      </c>
      <c r="U35" s="52">
        <v>19806869.5</v>
      </c>
      <c r="V35" s="53" t="s">
        <v>149</v>
      </c>
      <c r="W35" s="54">
        <f t="shared" si="9"/>
        <v>657467.61933213833</v>
      </c>
      <c r="X35" s="53">
        <v>19351</v>
      </c>
      <c r="Y35" s="62">
        <v>152871</v>
      </c>
      <c r="Z35" s="64" t="s">
        <v>128</v>
      </c>
      <c r="AA35" s="50"/>
      <c r="AB35" s="51"/>
      <c r="AC35" s="51">
        <f t="shared" si="5"/>
        <v>33</v>
      </c>
      <c r="AD35" s="63">
        <f t="shared" si="6"/>
        <v>586.39393939393938</v>
      </c>
      <c r="AE35" s="76">
        <f t="shared" si="7"/>
        <v>44.0976743649192</v>
      </c>
    </row>
    <row r="36" spans="1:31" ht="15" customHeight="1" x14ac:dyDescent="0.35">
      <c r="A36" s="50"/>
      <c r="B36" s="75">
        <v>42176</v>
      </c>
      <c r="C36" s="51" t="s">
        <v>125</v>
      </c>
      <c r="D36" s="56">
        <v>14846</v>
      </c>
      <c r="E36" s="56">
        <v>319961.4246829981</v>
      </c>
      <c r="F36" s="55">
        <v>1987</v>
      </c>
      <c r="G36" s="55">
        <f t="shared" si="0"/>
        <v>37</v>
      </c>
      <c r="H36" s="57" t="e">
        <f>VLOOKUP(B36,'[1]SERVIS SUMM'!A$1:E$48,5,FALSE)</f>
        <v>#DIV/0!</v>
      </c>
      <c r="I36" s="57">
        <v>1</v>
      </c>
      <c r="J36" s="58">
        <f t="shared" si="2"/>
        <v>1.4845999999999999</v>
      </c>
      <c r="K36" s="58">
        <v>5</v>
      </c>
      <c r="L36" s="59">
        <f t="shared" si="3"/>
        <v>0.11570769831606907</v>
      </c>
      <c r="M36" s="60">
        <f t="shared" si="4"/>
        <v>0.57853849158034532</v>
      </c>
      <c r="N36" s="61" t="s">
        <v>23</v>
      </c>
      <c r="O36" s="55" t="s">
        <v>19</v>
      </c>
      <c r="P36" s="55" t="s">
        <v>162</v>
      </c>
      <c r="Q36" s="61" t="s">
        <v>20</v>
      </c>
      <c r="R36" s="61" t="s">
        <v>21</v>
      </c>
      <c r="S36" s="61" t="s">
        <v>22</v>
      </c>
      <c r="T36" s="61" t="s">
        <v>121</v>
      </c>
      <c r="U36" s="52">
        <v>9639157.8800000008</v>
      </c>
      <c r="V36" s="53" t="s">
        <v>149</v>
      </c>
      <c r="W36" s="54">
        <f t="shared" si="9"/>
        <v>319961.4246829981</v>
      </c>
      <c r="X36" s="53">
        <v>14846</v>
      </c>
      <c r="Y36" s="62">
        <v>37022</v>
      </c>
      <c r="Z36" s="64" t="s">
        <v>124</v>
      </c>
      <c r="AA36" s="50"/>
      <c r="AB36" s="51"/>
      <c r="AC36" s="51">
        <f t="shared" si="5"/>
        <v>36</v>
      </c>
      <c r="AD36" s="63">
        <f t="shared" si="6"/>
        <v>412.38888888888891</v>
      </c>
      <c r="AE36" s="76">
        <f t="shared" si="7"/>
        <v>45.063138491580347</v>
      </c>
    </row>
    <row r="37" spans="1:31" ht="15" customHeight="1" x14ac:dyDescent="0.35">
      <c r="A37" s="50"/>
      <c r="B37" s="75">
        <v>60500</v>
      </c>
      <c r="C37" s="51" t="s">
        <v>184</v>
      </c>
      <c r="D37" s="56">
        <v>12584</v>
      </c>
      <c r="E37" s="56">
        <v>49790.878311093409</v>
      </c>
      <c r="F37" s="55">
        <v>1990</v>
      </c>
      <c r="G37" s="55">
        <f t="shared" si="0"/>
        <v>34</v>
      </c>
      <c r="H37" s="57">
        <f>VLOOKUP(B37,'[1]SERVIS SUMM'!A$1:E$48,5,FALSE)</f>
        <v>5.333333333333333</v>
      </c>
      <c r="I37" s="57">
        <f t="shared" ref="I37:I49" si="10">IF(H37&lt;4,1,IF(H37&lt;8,2,IF(H37&lt;12,3,IF(H37&lt;16,4,5))))</f>
        <v>2</v>
      </c>
      <c r="J37" s="58">
        <f t="shared" si="2"/>
        <v>1.2584</v>
      </c>
      <c r="K37" s="58">
        <v>5</v>
      </c>
      <c r="L37" s="59">
        <f t="shared" si="3"/>
        <v>0.80307882399999997</v>
      </c>
      <c r="M37" s="60">
        <f t="shared" si="4"/>
        <v>4.0153941199999998</v>
      </c>
      <c r="N37" s="61" t="s">
        <v>16</v>
      </c>
      <c r="O37" s="55" t="s">
        <v>13</v>
      </c>
      <c r="P37" s="55" t="s">
        <v>163</v>
      </c>
      <c r="Q37" s="61" t="s">
        <v>9</v>
      </c>
      <c r="R37" s="61" t="s">
        <v>10</v>
      </c>
      <c r="S37" s="61" t="s">
        <v>11</v>
      </c>
      <c r="T37" s="61" t="s">
        <v>120</v>
      </c>
      <c r="U37" s="52">
        <v>1500000</v>
      </c>
      <c r="V37" s="53" t="s">
        <v>149</v>
      </c>
      <c r="W37" s="54">
        <f t="shared" si="9"/>
        <v>49790.878311093409</v>
      </c>
      <c r="X37" s="53">
        <v>12584</v>
      </c>
      <c r="Y37" s="62">
        <v>39986</v>
      </c>
      <c r="Z37" s="61" t="s">
        <v>132</v>
      </c>
      <c r="AA37" s="50"/>
      <c r="AB37" s="51" t="s">
        <v>152</v>
      </c>
      <c r="AC37" s="51">
        <f t="shared" si="5"/>
        <v>33</v>
      </c>
      <c r="AD37" s="63">
        <f t="shared" si="6"/>
        <v>381.33333333333331</v>
      </c>
      <c r="AE37" s="76">
        <f t="shared" si="7"/>
        <v>46.273794119999998</v>
      </c>
    </row>
    <row r="38" spans="1:31" ht="15" customHeight="1" x14ac:dyDescent="0.35">
      <c r="A38" s="50"/>
      <c r="B38" s="75">
        <v>60517</v>
      </c>
      <c r="C38" s="51" t="s">
        <v>184</v>
      </c>
      <c r="D38" s="56">
        <v>19773</v>
      </c>
      <c r="E38" s="56">
        <v>25061.740689105754</v>
      </c>
      <c r="F38" s="55">
        <v>1990</v>
      </c>
      <c r="G38" s="55">
        <f t="shared" si="0"/>
        <v>34</v>
      </c>
      <c r="H38" s="57">
        <f>VLOOKUP(B38,'[1]SERVIS SUMM'!A$1:E$48,5,FALSE)</f>
        <v>3.6666666666666665</v>
      </c>
      <c r="I38" s="57">
        <f t="shared" si="10"/>
        <v>1</v>
      </c>
      <c r="J38" s="58">
        <f t="shared" si="2"/>
        <v>1.9773000000000001</v>
      </c>
      <c r="K38" s="58">
        <v>5</v>
      </c>
      <c r="L38" s="59">
        <f t="shared" si="3"/>
        <v>1.2942836015417014</v>
      </c>
      <c r="M38" s="60">
        <f t="shared" si="4"/>
        <v>6.4714180077085075</v>
      </c>
      <c r="N38" s="61" t="s">
        <v>16</v>
      </c>
      <c r="O38" s="55" t="s">
        <v>13</v>
      </c>
      <c r="P38" s="55" t="s">
        <v>163</v>
      </c>
      <c r="Q38" s="61" t="s">
        <v>9</v>
      </c>
      <c r="R38" s="61" t="s">
        <v>33</v>
      </c>
      <c r="S38" s="61" t="s">
        <v>34</v>
      </c>
      <c r="T38" s="61" t="s">
        <v>121</v>
      </c>
      <c r="U38" s="52">
        <v>755010</v>
      </c>
      <c r="V38" s="53" t="s">
        <v>149</v>
      </c>
      <c r="W38" s="54">
        <f t="shared" si="9"/>
        <v>25061.740689105754</v>
      </c>
      <c r="X38" s="53">
        <v>19773</v>
      </c>
      <c r="Y38" s="62">
        <v>32437</v>
      </c>
      <c r="Z38" s="61" t="s">
        <v>127</v>
      </c>
      <c r="AA38" s="50"/>
      <c r="AB38" s="51" t="s">
        <v>152</v>
      </c>
      <c r="AC38" s="51">
        <f t="shared" si="5"/>
        <v>33</v>
      </c>
      <c r="AD38" s="63">
        <f t="shared" si="6"/>
        <v>599.18181818181813</v>
      </c>
      <c r="AE38" s="76">
        <f t="shared" si="7"/>
        <v>48.448718007708507</v>
      </c>
    </row>
    <row r="39" spans="1:31" ht="15" customHeight="1" x14ac:dyDescent="0.35">
      <c r="A39" s="50"/>
      <c r="B39" s="75">
        <v>60715</v>
      </c>
      <c r="C39" s="51" t="s">
        <v>184</v>
      </c>
      <c r="D39" s="56">
        <v>10925</v>
      </c>
      <c r="E39" s="56">
        <v>25061.740689105754</v>
      </c>
      <c r="F39" s="55">
        <v>1990</v>
      </c>
      <c r="G39" s="55">
        <f t="shared" si="0"/>
        <v>34</v>
      </c>
      <c r="H39" s="57">
        <f>VLOOKUP(B39,'[1]SERVIS SUMM'!A$1:E$48,5,FALSE)</f>
        <v>4</v>
      </c>
      <c r="I39" s="57">
        <f t="shared" si="10"/>
        <v>2</v>
      </c>
      <c r="J39" s="58">
        <f t="shared" si="2"/>
        <v>1.0925</v>
      </c>
      <c r="K39" s="58">
        <v>5</v>
      </c>
      <c r="L39" s="59">
        <f t="shared" si="3"/>
        <v>1.2890964119680535</v>
      </c>
      <c r="M39" s="60">
        <f t="shared" si="4"/>
        <v>6.4454820598402671</v>
      </c>
      <c r="N39" s="61" t="s">
        <v>16</v>
      </c>
      <c r="O39" s="55" t="s">
        <v>27</v>
      </c>
      <c r="P39" s="55" t="s">
        <v>163</v>
      </c>
      <c r="Q39" s="61" t="s">
        <v>20</v>
      </c>
      <c r="R39" s="61" t="s">
        <v>21</v>
      </c>
      <c r="S39" s="61" t="s">
        <v>22</v>
      </c>
      <c r="T39" s="61" t="s">
        <v>121</v>
      </c>
      <c r="U39" s="52">
        <v>755010</v>
      </c>
      <c r="V39" s="53" t="s">
        <v>149</v>
      </c>
      <c r="W39" s="54">
        <f t="shared" si="9"/>
        <v>25061.740689105754</v>
      </c>
      <c r="X39" s="53">
        <v>10925</v>
      </c>
      <c r="Y39" s="62">
        <v>32307</v>
      </c>
      <c r="Z39" s="61" t="s">
        <v>126</v>
      </c>
      <c r="AA39" s="50"/>
      <c r="AB39" s="51" t="s">
        <v>152</v>
      </c>
      <c r="AC39" s="51">
        <f t="shared" si="5"/>
        <v>33</v>
      </c>
      <c r="AD39" s="63">
        <f t="shared" si="6"/>
        <v>331.06060606060606</v>
      </c>
      <c r="AE39" s="76">
        <f t="shared" si="7"/>
        <v>48.537982059840267</v>
      </c>
    </row>
    <row r="40" spans="1:31" ht="15" customHeight="1" x14ac:dyDescent="0.35">
      <c r="A40" s="50"/>
      <c r="B40" s="75">
        <v>60903</v>
      </c>
      <c r="C40" s="51" t="s">
        <v>184</v>
      </c>
      <c r="D40" s="56">
        <v>11962</v>
      </c>
      <c r="E40" s="56">
        <v>25061.740689105754</v>
      </c>
      <c r="F40" s="55">
        <v>1990</v>
      </c>
      <c r="G40" s="55">
        <f t="shared" si="0"/>
        <v>34</v>
      </c>
      <c r="H40" s="57">
        <f>VLOOKUP(B40,'[1]SERVIS SUMM'!A$1:E$48,5,FALSE)</f>
        <v>3.3333333333333335</v>
      </c>
      <c r="I40" s="57">
        <f t="shared" si="10"/>
        <v>1</v>
      </c>
      <c r="J40" s="58">
        <f t="shared" si="2"/>
        <v>1.1961999999999999</v>
      </c>
      <c r="K40" s="58">
        <v>5</v>
      </c>
      <c r="L40" s="59">
        <f t="shared" si="3"/>
        <v>1.5065593594786826</v>
      </c>
      <c r="M40" s="60">
        <f t="shared" si="4"/>
        <v>7.532796797393412</v>
      </c>
      <c r="N40" s="61" t="s">
        <v>16</v>
      </c>
      <c r="O40" s="55" t="s">
        <v>27</v>
      </c>
      <c r="P40" s="55" t="s">
        <v>163</v>
      </c>
      <c r="Q40" s="61" t="s">
        <v>28</v>
      </c>
      <c r="R40" s="61" t="s">
        <v>31</v>
      </c>
      <c r="S40" s="61" t="s">
        <v>32</v>
      </c>
      <c r="T40" s="61" t="s">
        <v>120</v>
      </c>
      <c r="U40" s="52">
        <v>755010</v>
      </c>
      <c r="V40" s="53" t="s">
        <v>149</v>
      </c>
      <c r="W40" s="54">
        <f t="shared" si="9"/>
        <v>25061.740689105754</v>
      </c>
      <c r="X40" s="53">
        <v>11962</v>
      </c>
      <c r="Y40" s="62">
        <v>37757</v>
      </c>
      <c r="Z40" s="61" t="s">
        <v>126</v>
      </c>
      <c r="AA40" s="50"/>
      <c r="AB40" s="51" t="s">
        <v>152</v>
      </c>
      <c r="AC40" s="51">
        <f t="shared" si="5"/>
        <v>33</v>
      </c>
      <c r="AD40" s="63">
        <f t="shared" si="6"/>
        <v>362.4848484848485</v>
      </c>
      <c r="AE40" s="76">
        <f t="shared" si="7"/>
        <v>48.728996797393414</v>
      </c>
    </row>
    <row r="41" spans="1:31" ht="15" customHeight="1" x14ac:dyDescent="0.35">
      <c r="A41" s="50"/>
      <c r="B41" s="75">
        <v>60578</v>
      </c>
      <c r="C41" s="51" t="s">
        <v>184</v>
      </c>
      <c r="D41" s="56">
        <v>27543</v>
      </c>
      <c r="E41" s="56">
        <v>148057.15992830112</v>
      </c>
      <c r="F41" s="55">
        <v>1985</v>
      </c>
      <c r="G41" s="55">
        <f t="shared" si="0"/>
        <v>39</v>
      </c>
      <c r="H41" s="57">
        <f>VLOOKUP(B41,'[1]SERVIS SUMM'!A$1:E$48,5,FALSE)</f>
        <v>3.3333333333333335</v>
      </c>
      <c r="I41" s="57">
        <f t="shared" si="10"/>
        <v>1</v>
      </c>
      <c r="J41" s="58">
        <f t="shared" si="2"/>
        <v>2.7543000000000002</v>
      </c>
      <c r="K41" s="58">
        <v>5</v>
      </c>
      <c r="L41" s="59">
        <f t="shared" si="3"/>
        <v>0.25786662406930372</v>
      </c>
      <c r="M41" s="60">
        <f t="shared" si="4"/>
        <v>1.2893331203465186</v>
      </c>
      <c r="N41" s="61" t="s">
        <v>16</v>
      </c>
      <c r="O41" s="55" t="s">
        <v>13</v>
      </c>
      <c r="P41" s="55" t="s">
        <v>162</v>
      </c>
      <c r="Q41" s="61" t="s">
        <v>9</v>
      </c>
      <c r="R41" s="61" t="s">
        <v>14</v>
      </c>
      <c r="S41" s="61" t="s">
        <v>15</v>
      </c>
      <c r="T41" s="61" t="s">
        <v>120</v>
      </c>
      <c r="U41" s="52">
        <v>4460370</v>
      </c>
      <c r="V41" s="53" t="s">
        <v>149</v>
      </c>
      <c r="W41" s="54">
        <f t="shared" si="9"/>
        <v>148057.15992830112</v>
      </c>
      <c r="X41" s="53">
        <v>27543</v>
      </c>
      <c r="Y41" s="62">
        <v>38179</v>
      </c>
      <c r="Z41" s="61" t="s">
        <v>130</v>
      </c>
      <c r="AA41" s="50"/>
      <c r="AB41" s="51" t="s">
        <v>152</v>
      </c>
      <c r="AC41" s="51">
        <f t="shared" si="5"/>
        <v>38</v>
      </c>
      <c r="AD41" s="63">
        <f t="shared" si="6"/>
        <v>724.81578947368416</v>
      </c>
      <c r="AE41" s="76">
        <f t="shared" si="7"/>
        <v>49.04363312034652</v>
      </c>
    </row>
    <row r="42" spans="1:31" ht="15" customHeight="1" x14ac:dyDescent="0.35">
      <c r="A42" s="50"/>
      <c r="B42" s="75">
        <v>61311</v>
      </c>
      <c r="C42" s="51" t="s">
        <v>184</v>
      </c>
      <c r="D42" s="56">
        <v>15602</v>
      </c>
      <c r="E42" s="56">
        <v>25061.740689105754</v>
      </c>
      <c r="F42" s="55">
        <v>1990</v>
      </c>
      <c r="G42" s="55">
        <f t="shared" si="0"/>
        <v>34</v>
      </c>
      <c r="H42" s="57">
        <f>VLOOKUP(B42,'[1]SERVIS SUMM'!A$1:E$48,5,FALSE)</f>
        <v>4.666666666666667</v>
      </c>
      <c r="I42" s="57">
        <f t="shared" si="10"/>
        <v>2</v>
      </c>
      <c r="J42" s="58">
        <f t="shared" si="2"/>
        <v>1.5602</v>
      </c>
      <c r="K42" s="58">
        <v>5</v>
      </c>
      <c r="L42" s="59">
        <f t="shared" si="3"/>
        <v>1.31140132713474</v>
      </c>
      <c r="M42" s="60">
        <f t="shared" si="4"/>
        <v>6.5570066356736998</v>
      </c>
      <c r="N42" s="61" t="s">
        <v>16</v>
      </c>
      <c r="O42" s="55" t="s">
        <v>13</v>
      </c>
      <c r="P42" s="55" t="s">
        <v>163</v>
      </c>
      <c r="Q42" s="61" t="s">
        <v>44</v>
      </c>
      <c r="R42" s="61" t="s">
        <v>45</v>
      </c>
      <c r="S42" s="61" t="s">
        <v>46</v>
      </c>
      <c r="T42" s="61" t="s">
        <v>120</v>
      </c>
      <c r="U42" s="52">
        <v>755010</v>
      </c>
      <c r="V42" s="53" t="s">
        <v>149</v>
      </c>
      <c r="W42" s="54">
        <f t="shared" si="9"/>
        <v>25061.740689105754</v>
      </c>
      <c r="X42" s="53">
        <v>15602</v>
      </c>
      <c r="Y42" s="62">
        <v>32866</v>
      </c>
      <c r="Z42" s="61" t="s">
        <v>126</v>
      </c>
      <c r="AA42" s="50"/>
      <c r="AB42" s="51" t="s">
        <v>152</v>
      </c>
      <c r="AC42" s="51">
        <f t="shared" si="5"/>
        <v>33</v>
      </c>
      <c r="AD42" s="63">
        <f t="shared" si="6"/>
        <v>472.78787878787881</v>
      </c>
      <c r="AE42" s="76">
        <f t="shared" si="7"/>
        <v>49.117206635673696</v>
      </c>
    </row>
    <row r="43" spans="1:31" ht="15" customHeight="1" x14ac:dyDescent="0.35">
      <c r="A43" s="50"/>
      <c r="B43" s="75">
        <v>60687</v>
      </c>
      <c r="C43" s="51" t="s">
        <v>184</v>
      </c>
      <c r="D43" s="56">
        <v>15559</v>
      </c>
      <c r="E43" s="56">
        <v>25061.740689105754</v>
      </c>
      <c r="F43" s="55">
        <v>1990</v>
      </c>
      <c r="G43" s="55">
        <f t="shared" si="0"/>
        <v>34</v>
      </c>
      <c r="H43" s="57">
        <f>VLOOKUP(B43,'[1]SERVIS SUMM'!A$1:E$48,5,FALSE)</f>
        <v>3.6666666666666665</v>
      </c>
      <c r="I43" s="57">
        <f t="shared" si="10"/>
        <v>1</v>
      </c>
      <c r="J43" s="58">
        <f t="shared" si="2"/>
        <v>1.5559000000000001</v>
      </c>
      <c r="K43" s="58">
        <v>5</v>
      </c>
      <c r="L43" s="59">
        <f t="shared" si="3"/>
        <v>1.5432687010768069</v>
      </c>
      <c r="M43" s="60">
        <f t="shared" si="4"/>
        <v>7.7163435053840352</v>
      </c>
      <c r="N43" s="61" t="s">
        <v>16</v>
      </c>
      <c r="O43" s="55" t="s">
        <v>13</v>
      </c>
      <c r="P43" s="55" t="s">
        <v>163</v>
      </c>
      <c r="Q43" s="61" t="s">
        <v>35</v>
      </c>
      <c r="R43" s="61" t="s">
        <v>38</v>
      </c>
      <c r="S43" s="61" t="s">
        <v>39</v>
      </c>
      <c r="T43" s="61" t="s">
        <v>122</v>
      </c>
      <c r="U43" s="52">
        <v>755010</v>
      </c>
      <c r="V43" s="53" t="s">
        <v>149</v>
      </c>
      <c r="W43" s="54">
        <f t="shared" si="9"/>
        <v>25061.740689105754</v>
      </c>
      <c r="X43" s="53">
        <v>15559</v>
      </c>
      <c r="Y43" s="62">
        <v>38677</v>
      </c>
      <c r="Z43" s="61" t="s">
        <v>126</v>
      </c>
      <c r="AA43" s="50"/>
      <c r="AB43" s="51" t="s">
        <v>152</v>
      </c>
      <c r="AC43" s="51">
        <f t="shared" si="5"/>
        <v>33</v>
      </c>
      <c r="AD43" s="63">
        <f t="shared" si="6"/>
        <v>471.4848484848485</v>
      </c>
      <c r="AE43" s="76">
        <f t="shared" si="7"/>
        <v>49.272243505384033</v>
      </c>
    </row>
    <row r="44" spans="1:31" ht="15" customHeight="1" x14ac:dyDescent="0.35">
      <c r="A44" s="50"/>
      <c r="B44" s="75">
        <v>60452</v>
      </c>
      <c r="C44" s="51" t="s">
        <v>184</v>
      </c>
      <c r="D44" s="56">
        <v>26722</v>
      </c>
      <c r="E44" s="56">
        <v>25161.322445727943</v>
      </c>
      <c r="F44" s="55">
        <v>1989</v>
      </c>
      <c r="G44" s="55">
        <f t="shared" si="0"/>
        <v>35</v>
      </c>
      <c r="H44" s="57">
        <f>VLOOKUP(B44,'[1]SERVIS SUMM'!A$1:E$48,5,FALSE)</f>
        <v>3.6666666666666665</v>
      </c>
      <c r="I44" s="57">
        <f t="shared" si="10"/>
        <v>1</v>
      </c>
      <c r="J44" s="58">
        <f t="shared" si="2"/>
        <v>2.6722000000000001</v>
      </c>
      <c r="K44" s="58">
        <v>5</v>
      </c>
      <c r="L44" s="59">
        <f t="shared" si="3"/>
        <v>1.1428652075830135</v>
      </c>
      <c r="M44" s="60">
        <f t="shared" si="4"/>
        <v>5.7143260379150673</v>
      </c>
      <c r="N44" s="61" t="s">
        <v>16</v>
      </c>
      <c r="O44" s="55" t="s">
        <v>27</v>
      </c>
      <c r="P44" s="55" t="s">
        <v>162</v>
      </c>
      <c r="Q44" s="61" t="s">
        <v>28</v>
      </c>
      <c r="R44" s="61" t="s">
        <v>29</v>
      </c>
      <c r="S44" s="61" t="s">
        <v>30</v>
      </c>
      <c r="T44" s="61" t="s">
        <v>122</v>
      </c>
      <c r="U44" s="52">
        <v>758010</v>
      </c>
      <c r="V44" s="53" t="s">
        <v>149</v>
      </c>
      <c r="W44" s="54">
        <f t="shared" si="9"/>
        <v>25161.322445727943</v>
      </c>
      <c r="X44" s="53">
        <v>26722</v>
      </c>
      <c r="Y44" s="62">
        <v>28756</v>
      </c>
      <c r="Z44" s="61" t="s">
        <v>126</v>
      </c>
      <c r="AA44" s="50"/>
      <c r="AB44" s="51" t="s">
        <v>152</v>
      </c>
      <c r="AC44" s="51">
        <f t="shared" si="5"/>
        <v>34</v>
      </c>
      <c r="AD44" s="63">
        <f t="shared" si="6"/>
        <v>785.94117647058829</v>
      </c>
      <c r="AE44" s="76">
        <f t="shared" si="7"/>
        <v>49.386526037915068</v>
      </c>
    </row>
    <row r="45" spans="1:31" ht="15" customHeight="1" x14ac:dyDescent="0.35">
      <c r="A45" s="50"/>
      <c r="B45" s="75">
        <v>60527</v>
      </c>
      <c r="C45" s="51" t="s">
        <v>125</v>
      </c>
      <c r="D45" s="56">
        <v>21180</v>
      </c>
      <c r="E45" s="56">
        <v>27335.623713735644</v>
      </c>
      <c r="F45" s="55">
        <v>1987</v>
      </c>
      <c r="G45" s="55">
        <f t="shared" si="0"/>
        <v>37</v>
      </c>
      <c r="H45" s="57">
        <f>VLOOKUP(B45,'[1]SERVIS SUMM'!A$1:E$48,5,FALSE)</f>
        <v>3.6666666666666665</v>
      </c>
      <c r="I45" s="57">
        <f t="shared" si="10"/>
        <v>1</v>
      </c>
      <c r="J45" s="58">
        <f t="shared" si="2"/>
        <v>2.1179999999999999</v>
      </c>
      <c r="K45" s="58">
        <v>5</v>
      </c>
      <c r="L45" s="59">
        <f t="shared" si="3"/>
        <v>1.2870384948385758</v>
      </c>
      <c r="M45" s="60">
        <f t="shared" si="4"/>
        <v>6.4351924741928785</v>
      </c>
      <c r="N45" s="61" t="s">
        <v>16</v>
      </c>
      <c r="O45" s="55" t="s">
        <v>13</v>
      </c>
      <c r="P45" s="55" t="s">
        <v>162</v>
      </c>
      <c r="Q45" s="61" t="s">
        <v>9</v>
      </c>
      <c r="R45" s="61" t="s">
        <v>17</v>
      </c>
      <c r="S45" s="61" t="s">
        <v>18</v>
      </c>
      <c r="T45" s="61" t="s">
        <v>120</v>
      </c>
      <c r="U45" s="52">
        <v>823513</v>
      </c>
      <c r="V45" s="53" t="s">
        <v>149</v>
      </c>
      <c r="W45" s="54">
        <f t="shared" si="9"/>
        <v>27335.623713735644</v>
      </c>
      <c r="X45" s="53">
        <v>21180</v>
      </c>
      <c r="Y45" s="62">
        <v>35182</v>
      </c>
      <c r="Z45" s="64" t="s">
        <v>131</v>
      </c>
      <c r="AA45" s="50"/>
      <c r="AB45" s="51"/>
      <c r="AC45" s="51">
        <f t="shared" si="5"/>
        <v>36</v>
      </c>
      <c r="AD45" s="63">
        <f t="shared" si="6"/>
        <v>588.33333333333337</v>
      </c>
      <c r="AE45" s="76">
        <f t="shared" si="7"/>
        <v>51.553192474192876</v>
      </c>
    </row>
    <row r="46" spans="1:31" ht="15" customHeight="1" x14ac:dyDescent="0.35">
      <c r="A46" s="50"/>
      <c r="B46" s="75">
        <v>60646</v>
      </c>
      <c r="C46" s="51" t="s">
        <v>184</v>
      </c>
      <c r="D46" s="56">
        <v>15981</v>
      </c>
      <c r="E46" s="56">
        <v>25061.740689105754</v>
      </c>
      <c r="F46" s="55">
        <v>1990</v>
      </c>
      <c r="G46" s="55">
        <f t="shared" si="0"/>
        <v>34</v>
      </c>
      <c r="H46" s="57">
        <f>VLOOKUP(B46,'[1]SERVIS SUMM'!A$1:E$48,5,FALSE)</f>
        <v>3.3333333333333335</v>
      </c>
      <c r="I46" s="57">
        <f t="shared" si="10"/>
        <v>1</v>
      </c>
      <c r="J46" s="58">
        <f t="shared" si="2"/>
        <v>1.5981000000000001</v>
      </c>
      <c r="K46" s="58">
        <v>5</v>
      </c>
      <c r="L46" s="59">
        <f t="shared" si="3"/>
        <v>2.0570398776175152</v>
      </c>
      <c r="M46" s="60">
        <f t="shared" si="4"/>
        <v>10.285199388087577</v>
      </c>
      <c r="N46" s="61" t="s">
        <v>16</v>
      </c>
      <c r="O46" s="55" t="s">
        <v>13</v>
      </c>
      <c r="P46" s="55" t="s">
        <v>163</v>
      </c>
      <c r="Q46" s="61" t="s">
        <v>35</v>
      </c>
      <c r="R46" s="61" t="s">
        <v>36</v>
      </c>
      <c r="S46" s="61" t="s">
        <v>37</v>
      </c>
      <c r="T46" s="61" t="s">
        <v>122</v>
      </c>
      <c r="U46" s="52">
        <v>755010</v>
      </c>
      <c r="V46" s="53" t="s">
        <v>149</v>
      </c>
      <c r="W46" s="54">
        <f t="shared" si="9"/>
        <v>25061.740689105754</v>
      </c>
      <c r="X46" s="53">
        <v>15981</v>
      </c>
      <c r="Y46" s="62">
        <v>51553</v>
      </c>
      <c r="Z46" s="61" t="s">
        <v>126</v>
      </c>
      <c r="AA46" s="50"/>
      <c r="AB46" s="51" t="s">
        <v>152</v>
      </c>
      <c r="AC46" s="51">
        <f t="shared" si="5"/>
        <v>33</v>
      </c>
      <c r="AD46" s="63">
        <f t="shared" si="6"/>
        <v>484.27272727272725</v>
      </c>
      <c r="AE46" s="76">
        <f t="shared" si="7"/>
        <v>51.883299388087579</v>
      </c>
    </row>
    <row r="47" spans="1:31" ht="15" customHeight="1" x14ac:dyDescent="0.35">
      <c r="A47" s="50"/>
      <c r="B47" s="75">
        <v>60004</v>
      </c>
      <c r="C47" s="51" t="s">
        <v>184</v>
      </c>
      <c r="D47" s="56">
        <v>19380</v>
      </c>
      <c r="E47" s="56">
        <v>21337.051052247229</v>
      </c>
      <c r="F47" s="55">
        <v>1992</v>
      </c>
      <c r="G47" s="55">
        <f t="shared" si="0"/>
        <v>32</v>
      </c>
      <c r="H47" s="57">
        <f>VLOOKUP(B47,'[1]SERVIS SUMM'!A$1:E$48,5,FALSE)</f>
        <v>3</v>
      </c>
      <c r="I47" s="57">
        <f t="shared" si="10"/>
        <v>1</v>
      </c>
      <c r="J47" s="58">
        <f t="shared" si="2"/>
        <v>1.9379999999999999</v>
      </c>
      <c r="K47" s="58">
        <v>5</v>
      </c>
      <c r="L47" s="59">
        <f t="shared" si="3"/>
        <v>2.7418503080273799</v>
      </c>
      <c r="M47" s="60">
        <f t="shared" si="4"/>
        <v>13.709251540136899</v>
      </c>
      <c r="N47" s="61" t="s">
        <v>16</v>
      </c>
      <c r="O47" s="55" t="s">
        <v>48</v>
      </c>
      <c r="P47" s="55" t="s">
        <v>163</v>
      </c>
      <c r="Q47" s="61" t="s">
        <v>20</v>
      </c>
      <c r="R47" s="61" t="s">
        <v>49</v>
      </c>
      <c r="S47" s="61" t="s">
        <v>50</v>
      </c>
      <c r="T47" s="61" t="s">
        <v>123</v>
      </c>
      <c r="U47" s="52">
        <v>642800</v>
      </c>
      <c r="V47" s="53" t="s">
        <v>149</v>
      </c>
      <c r="W47" s="54">
        <f t="shared" si="9"/>
        <v>21337.051052247229</v>
      </c>
      <c r="X47" s="53">
        <v>19380</v>
      </c>
      <c r="Y47" s="62">
        <v>58503</v>
      </c>
      <c r="Z47" s="61" t="s">
        <v>126</v>
      </c>
      <c r="AA47" s="50"/>
      <c r="AB47" s="51" t="s">
        <v>152</v>
      </c>
      <c r="AC47" s="51">
        <f t="shared" si="5"/>
        <v>31</v>
      </c>
      <c r="AD47" s="63">
        <f t="shared" si="6"/>
        <v>625.16129032258061</v>
      </c>
      <c r="AE47" s="76">
        <f t="shared" si="7"/>
        <v>53.647251540136892</v>
      </c>
    </row>
    <row r="48" spans="1:31" ht="15" customHeight="1" x14ac:dyDescent="0.35">
      <c r="A48" s="50"/>
      <c r="B48" s="75">
        <v>61018</v>
      </c>
      <c r="C48" s="51" t="s">
        <v>125</v>
      </c>
      <c r="D48" s="56">
        <v>14525</v>
      </c>
      <c r="E48" s="56">
        <v>27481.345017592776</v>
      </c>
      <c r="F48" s="55">
        <v>1988</v>
      </c>
      <c r="G48" s="55">
        <f t="shared" si="0"/>
        <v>36</v>
      </c>
      <c r="H48" s="57">
        <f>VLOOKUP(B48,'[1]SERVIS SUMM'!A$1:E$48,5,FALSE)</f>
        <v>1.5</v>
      </c>
      <c r="I48" s="57">
        <f t="shared" si="10"/>
        <v>1</v>
      </c>
      <c r="J48" s="58">
        <f t="shared" si="2"/>
        <v>1.4524999999999999</v>
      </c>
      <c r="K48" s="58">
        <v>5</v>
      </c>
      <c r="L48" s="59">
        <f t="shared" si="3"/>
        <v>2.1678342148778298</v>
      </c>
      <c r="M48" s="60">
        <f t="shared" si="4"/>
        <v>10.839171074389149</v>
      </c>
      <c r="N48" s="61" t="s">
        <v>16</v>
      </c>
      <c r="O48" s="55" t="s">
        <v>13</v>
      </c>
      <c r="P48" s="55" t="s">
        <v>162</v>
      </c>
      <c r="Q48" s="61" t="s">
        <v>24</v>
      </c>
      <c r="R48" s="61" t="s">
        <v>25</v>
      </c>
      <c r="S48" s="61" t="s">
        <v>26</v>
      </c>
      <c r="T48" s="61" t="s">
        <v>120</v>
      </c>
      <c r="U48" s="52">
        <v>827903</v>
      </c>
      <c r="V48" s="53" t="s">
        <v>149</v>
      </c>
      <c r="W48" s="54">
        <f t="shared" si="9"/>
        <v>27481.345017592776</v>
      </c>
      <c r="X48" s="53">
        <v>14525</v>
      </c>
      <c r="Y48" s="62">
        <v>59575</v>
      </c>
      <c r="Z48" s="64" t="s">
        <v>125</v>
      </c>
      <c r="AA48" s="50"/>
      <c r="AB48" s="51"/>
      <c r="AC48" s="51">
        <f t="shared" si="5"/>
        <v>35</v>
      </c>
      <c r="AD48" s="63">
        <f t="shared" si="6"/>
        <v>415</v>
      </c>
      <c r="AE48" s="76">
        <f t="shared" si="7"/>
        <v>54.29167107438915</v>
      </c>
    </row>
    <row r="49" spans="1:31" ht="15" customHeight="1" thickBot="1" x14ac:dyDescent="0.4">
      <c r="A49" s="50"/>
      <c r="B49" s="77">
        <v>61441</v>
      </c>
      <c r="C49" s="78" t="s">
        <v>184</v>
      </c>
      <c r="D49" s="79">
        <v>25391</v>
      </c>
      <c r="E49" s="79">
        <v>39832.702648874721</v>
      </c>
      <c r="F49" s="80">
        <v>1975</v>
      </c>
      <c r="G49" s="55">
        <f t="shared" si="0"/>
        <v>49</v>
      </c>
      <c r="H49" s="81">
        <f>VLOOKUP(B49,'[1]SERVIS SUMM'!A$1:E$48,5,FALSE)</f>
        <v>3.6666666666666665</v>
      </c>
      <c r="I49" s="81">
        <f t="shared" si="10"/>
        <v>1</v>
      </c>
      <c r="J49" s="82">
        <f t="shared" si="2"/>
        <v>2.5390999999999999</v>
      </c>
      <c r="K49" s="82">
        <v>5</v>
      </c>
      <c r="L49" s="83">
        <f t="shared" si="3"/>
        <v>0.81322626500000006</v>
      </c>
      <c r="M49" s="84">
        <f t="shared" si="4"/>
        <v>4.0661313250000006</v>
      </c>
      <c r="N49" s="85" t="s">
        <v>12</v>
      </c>
      <c r="O49" s="80" t="s">
        <v>8</v>
      </c>
      <c r="P49" s="80" t="s">
        <v>161</v>
      </c>
      <c r="Q49" s="85" t="s">
        <v>9</v>
      </c>
      <c r="R49" s="85" t="s">
        <v>10</v>
      </c>
      <c r="S49" s="85" t="s">
        <v>11</v>
      </c>
      <c r="T49" s="85" t="s">
        <v>120</v>
      </c>
      <c r="U49" s="86">
        <v>1200000</v>
      </c>
      <c r="V49" s="87" t="s">
        <v>149</v>
      </c>
      <c r="W49" s="88">
        <f t="shared" si="9"/>
        <v>39832.702648874721</v>
      </c>
      <c r="X49" s="87">
        <v>25391</v>
      </c>
      <c r="Y49" s="89">
        <v>32393</v>
      </c>
      <c r="Z49" s="85" t="s">
        <v>129</v>
      </c>
      <c r="AA49" s="90"/>
      <c r="AB49" s="78" t="s">
        <v>152</v>
      </c>
      <c r="AC49" s="78">
        <f t="shared" si="5"/>
        <v>48</v>
      </c>
      <c r="AD49" s="91">
        <f t="shared" si="6"/>
        <v>528.97916666666663</v>
      </c>
      <c r="AE49" s="92">
        <f t="shared" si="7"/>
        <v>61.605231324999998</v>
      </c>
    </row>
    <row r="50" spans="1:31" x14ac:dyDescent="0.35">
      <c r="A50" s="50"/>
      <c r="B50" s="51"/>
      <c r="C50" s="51"/>
      <c r="D50" s="51"/>
      <c r="E50" s="51"/>
      <c r="F50" s="51"/>
      <c r="G50" s="51">
        <f>SUM(G3:G49)</f>
        <v>1060</v>
      </c>
      <c r="H50" s="51"/>
      <c r="I50" s="51">
        <f>SUM(I2:I49)</f>
        <v>66</v>
      </c>
      <c r="J50" s="130">
        <f>SUM(J3:J49)</f>
        <v>105.89339999999999</v>
      </c>
      <c r="K50" s="51">
        <f>SUM(K3:K49)</f>
        <v>235</v>
      </c>
      <c r="L50" s="51"/>
      <c r="M50" s="51">
        <f>SUM(M2:M49)</f>
        <v>117.94011550040749</v>
      </c>
      <c r="N50" s="51"/>
      <c r="O50" s="51"/>
      <c r="P50" s="51"/>
      <c r="Q50" s="51"/>
      <c r="R50" s="51"/>
      <c r="S50" s="51"/>
      <c r="T50" s="51"/>
      <c r="U50" s="52"/>
      <c r="V50" s="53"/>
      <c r="W50" s="54"/>
      <c r="X50" s="53"/>
      <c r="Y50" s="53"/>
      <c r="Z50" s="51"/>
      <c r="AA50" s="48"/>
      <c r="AB50" s="51"/>
      <c r="AC50" s="51"/>
      <c r="AD50" s="51"/>
      <c r="AE50" s="127">
        <f>SUM(AE3:AE49)</f>
        <v>1584.8335155004077</v>
      </c>
    </row>
    <row r="51" spans="1:31" x14ac:dyDescent="0.35">
      <c r="A51" s="50"/>
      <c r="B51" s="51"/>
      <c r="C51" s="51"/>
      <c r="D51" s="51"/>
      <c r="E51" s="51"/>
      <c r="F51" s="51"/>
      <c r="G51" s="129">
        <f>G50/AE50</f>
        <v>0.66883996939281498</v>
      </c>
      <c r="H51" s="51"/>
      <c r="I51" s="129">
        <f>I50/AE50</f>
        <v>4.164475281125074E-2</v>
      </c>
      <c r="J51" s="129">
        <f>J50/AE50</f>
        <v>6.6816734353680282E-2</v>
      </c>
      <c r="K51" s="129">
        <f>K50/AE50</f>
        <v>0.14828055925218067</v>
      </c>
      <c r="L51" s="51"/>
      <c r="M51" s="129">
        <f>M50/AE50</f>
        <v>7.4417984190073214E-2</v>
      </c>
      <c r="N51" s="51"/>
      <c r="O51" s="51"/>
      <c r="P51" s="51"/>
      <c r="Q51" s="51"/>
      <c r="R51" s="51"/>
      <c r="S51" s="51"/>
      <c r="T51" s="51"/>
      <c r="U51" s="52"/>
      <c r="V51" s="53"/>
      <c r="W51" s="54"/>
      <c r="X51" s="53"/>
      <c r="Y51" s="53"/>
      <c r="Z51" s="51"/>
      <c r="AA51" s="48"/>
      <c r="AB51" s="51"/>
      <c r="AC51" s="51"/>
      <c r="AD51" s="51"/>
      <c r="AE51" s="128"/>
    </row>
    <row r="52" spans="1:31" x14ac:dyDescent="0.35">
      <c r="A52" s="50"/>
      <c r="B52" s="51"/>
      <c r="C52" s="51" t="s">
        <v>284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3"/>
      <c r="W52" s="54"/>
      <c r="X52" s="53"/>
      <c r="Y52" s="53"/>
      <c r="Z52" s="51"/>
      <c r="AA52" s="48"/>
      <c r="AB52" s="51"/>
      <c r="AC52" s="51"/>
      <c r="AD52" s="51"/>
      <c r="AE52" s="50"/>
    </row>
    <row r="53" spans="1:31" x14ac:dyDescent="0.35">
      <c r="A53" s="50"/>
      <c r="B53" s="51"/>
      <c r="C53" s="51" t="s">
        <v>285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3"/>
      <c r="W53" s="54"/>
      <c r="X53" s="53"/>
      <c r="Y53" s="53"/>
      <c r="Z53" s="51"/>
      <c r="AA53" s="48"/>
      <c r="AB53" s="51"/>
      <c r="AC53" s="51"/>
      <c r="AD53" s="51"/>
      <c r="AE53" s="50"/>
    </row>
    <row r="54" spans="1:31" x14ac:dyDescent="0.35">
      <c r="A54" s="50"/>
      <c r="B54" s="51"/>
      <c r="C54" s="51" t="s">
        <v>286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  <c r="V54" s="53"/>
      <c r="W54" s="54"/>
      <c r="X54" s="53"/>
      <c r="Y54" s="53"/>
      <c r="Z54" s="51"/>
      <c r="AA54" s="48"/>
      <c r="AB54" s="51"/>
      <c r="AC54" s="51"/>
      <c r="AD54" s="51"/>
      <c r="AE54" s="50"/>
    </row>
    <row r="55" spans="1:31" x14ac:dyDescent="0.35">
      <c r="A55" s="50"/>
      <c r="B55" s="51"/>
      <c r="C55" s="51" t="s">
        <v>287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53"/>
      <c r="W55" s="54"/>
      <c r="X55" s="53"/>
      <c r="Y55" s="53"/>
      <c r="Z55" s="51"/>
      <c r="AA55" s="48"/>
      <c r="AB55" s="51"/>
      <c r="AC55" s="51"/>
      <c r="AD55" s="51"/>
      <c r="AE55" s="50"/>
    </row>
    <row r="56" spans="1:31" x14ac:dyDescent="0.35">
      <c r="A56" s="50"/>
      <c r="B56" s="51"/>
      <c r="C56" s="51" t="s">
        <v>288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53"/>
      <c r="W56" s="54"/>
      <c r="X56" s="53"/>
      <c r="Y56" s="53"/>
      <c r="Z56" s="51"/>
      <c r="AA56" s="48"/>
      <c r="AB56" s="51"/>
      <c r="AC56" s="51"/>
      <c r="AD56" s="51"/>
      <c r="AE56" s="50"/>
    </row>
    <row r="57" spans="1:31" x14ac:dyDescent="0.3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53"/>
      <c r="W57" s="54"/>
      <c r="X57" s="53"/>
      <c r="Y57" s="53"/>
      <c r="Z57" s="51"/>
      <c r="AA57" s="48"/>
      <c r="AB57" s="51"/>
      <c r="AC57" s="51"/>
      <c r="AD57" s="51"/>
      <c r="AE57" s="50"/>
    </row>
    <row r="58" spans="1:31" x14ac:dyDescent="0.3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53"/>
      <c r="W58" s="54"/>
      <c r="X58" s="53"/>
      <c r="Y58" s="53"/>
      <c r="Z58" s="51"/>
      <c r="AA58" s="48"/>
      <c r="AB58" s="51"/>
      <c r="AC58" s="51"/>
      <c r="AD58" s="51"/>
      <c r="AE58" s="50"/>
    </row>
    <row r="59" spans="1:31" x14ac:dyDescent="0.3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3"/>
      <c r="W59" s="54"/>
      <c r="X59" s="53"/>
      <c r="Y59" s="53"/>
      <c r="Z59" s="51"/>
      <c r="AA59" s="48"/>
      <c r="AB59" s="51"/>
      <c r="AC59" s="51"/>
      <c r="AD59" s="51"/>
      <c r="AE59" s="50"/>
    </row>
    <row r="60" spans="1:31" x14ac:dyDescent="0.3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  <c r="V60" s="53"/>
      <c r="W60" s="54"/>
      <c r="X60" s="53"/>
      <c r="Y60" s="53"/>
      <c r="Z60" s="51"/>
      <c r="AA60" s="48"/>
      <c r="AB60" s="51"/>
      <c r="AC60" s="51"/>
      <c r="AD60" s="51"/>
      <c r="AE60" s="50"/>
    </row>
    <row r="61" spans="1:31" x14ac:dyDescent="0.3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  <c r="V61" s="53"/>
      <c r="W61" s="54"/>
      <c r="X61" s="53"/>
      <c r="Y61" s="53"/>
      <c r="Z61" s="51"/>
      <c r="AA61" s="48"/>
      <c r="AB61" s="51"/>
      <c r="AC61" s="51"/>
      <c r="AD61" s="51"/>
      <c r="AE61" s="50"/>
    </row>
    <row r="62" spans="1:31" x14ac:dyDescent="0.3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3"/>
      <c r="W62" s="54"/>
      <c r="X62" s="53"/>
      <c r="Y62" s="53"/>
      <c r="Z62" s="51"/>
      <c r="AA62" s="48"/>
      <c r="AB62" s="51"/>
      <c r="AC62" s="51"/>
      <c r="AD62" s="51"/>
      <c r="AE62" s="50"/>
    </row>
    <row r="63" spans="1:31" x14ac:dyDescent="0.3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  <c r="V63" s="53"/>
      <c r="W63" s="54"/>
      <c r="X63" s="53"/>
      <c r="Y63" s="53"/>
      <c r="Z63" s="51"/>
      <c r="AA63" s="48"/>
      <c r="AB63" s="51"/>
      <c r="AC63" s="51"/>
      <c r="AD63" s="51"/>
      <c r="AE63" s="50"/>
    </row>
    <row r="64" spans="1:31" x14ac:dyDescent="0.3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  <c r="V64" s="53"/>
      <c r="W64" s="54"/>
      <c r="X64" s="53"/>
      <c r="Y64" s="53"/>
      <c r="Z64" s="51"/>
      <c r="AA64" s="48"/>
      <c r="AB64" s="51"/>
      <c r="AC64" s="51"/>
      <c r="AD64" s="51"/>
      <c r="AE64" s="50"/>
    </row>
    <row r="65" spans="1:31" x14ac:dyDescent="0.3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53"/>
      <c r="W65" s="54"/>
      <c r="X65" s="53"/>
      <c r="Y65" s="53"/>
      <c r="Z65" s="51"/>
      <c r="AA65" s="48"/>
      <c r="AB65" s="51"/>
      <c r="AC65" s="51"/>
      <c r="AD65" s="51"/>
      <c r="AE65" s="50"/>
    </row>
    <row r="66" spans="1:31" x14ac:dyDescent="0.3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2"/>
      <c r="V66" s="53"/>
      <c r="W66" s="54"/>
      <c r="X66" s="53"/>
      <c r="Y66" s="53"/>
      <c r="Z66" s="51"/>
      <c r="AA66" s="48"/>
      <c r="AB66" s="51"/>
      <c r="AC66" s="51"/>
      <c r="AD66" s="51"/>
      <c r="AE66" s="50"/>
    </row>
    <row r="67" spans="1:31" x14ac:dyDescent="0.3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2"/>
      <c r="V67" s="53"/>
      <c r="W67" s="54"/>
      <c r="X67" s="53"/>
      <c r="Y67" s="53"/>
      <c r="Z67" s="51"/>
      <c r="AA67" s="48"/>
      <c r="AB67" s="51"/>
      <c r="AC67" s="51"/>
      <c r="AD67" s="51"/>
      <c r="AE67" s="50"/>
    </row>
    <row r="68" spans="1:31" x14ac:dyDescent="0.3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53"/>
      <c r="W68" s="54"/>
      <c r="X68" s="53"/>
      <c r="Y68" s="53"/>
      <c r="Z68" s="51"/>
      <c r="AA68" s="48"/>
      <c r="AB68" s="51"/>
      <c r="AC68" s="51"/>
      <c r="AD68" s="51"/>
      <c r="AE68" s="50"/>
    </row>
    <row r="69" spans="1:31" x14ac:dyDescent="0.3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53"/>
      <c r="W69" s="54"/>
      <c r="X69" s="53"/>
      <c r="Y69" s="53"/>
      <c r="Z69" s="51"/>
      <c r="AA69" s="48"/>
      <c r="AB69" s="51"/>
      <c r="AC69" s="51"/>
      <c r="AD69" s="51"/>
      <c r="AE69" s="50"/>
    </row>
    <row r="70" spans="1:31" x14ac:dyDescent="0.3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53"/>
      <c r="W70" s="54"/>
      <c r="X70" s="53"/>
      <c r="Y70" s="53"/>
      <c r="Z70" s="51"/>
      <c r="AA70" s="48"/>
      <c r="AB70" s="51"/>
      <c r="AC70" s="51"/>
      <c r="AD70" s="51"/>
      <c r="AE70" s="50"/>
    </row>
    <row r="71" spans="1:31" x14ac:dyDescent="0.3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3"/>
      <c r="W71" s="54"/>
      <c r="X71" s="53"/>
      <c r="Y71" s="53"/>
      <c r="Z71" s="51"/>
      <c r="AA71" s="48"/>
      <c r="AB71" s="51"/>
      <c r="AC71" s="51"/>
      <c r="AD71" s="51"/>
      <c r="AE71" s="50"/>
    </row>
    <row r="72" spans="1:31" x14ac:dyDescent="0.3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3"/>
      <c r="W72" s="54"/>
      <c r="X72" s="53"/>
      <c r="Y72" s="53"/>
      <c r="Z72" s="51"/>
      <c r="AA72" s="48"/>
      <c r="AB72" s="51"/>
      <c r="AC72" s="51"/>
      <c r="AD72" s="51"/>
      <c r="AE72" s="50"/>
    </row>
    <row r="73" spans="1:31" x14ac:dyDescent="0.3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2"/>
      <c r="V73" s="53"/>
      <c r="W73" s="54"/>
      <c r="X73" s="53"/>
      <c r="Y73" s="53"/>
      <c r="Z73" s="51"/>
      <c r="AA73" s="48"/>
      <c r="AB73" s="51"/>
      <c r="AC73" s="51"/>
      <c r="AD73" s="51"/>
      <c r="AE73" s="50"/>
    </row>
    <row r="74" spans="1:31" x14ac:dyDescent="0.3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2"/>
      <c r="V74" s="53"/>
      <c r="W74" s="54"/>
      <c r="X74" s="53"/>
      <c r="Y74" s="53"/>
      <c r="Z74" s="51"/>
      <c r="AA74" s="48"/>
      <c r="AB74" s="51"/>
      <c r="AC74" s="51"/>
      <c r="AD74" s="51"/>
      <c r="AE74" s="50"/>
    </row>
    <row r="75" spans="1:31" x14ac:dyDescent="0.3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3"/>
      <c r="W75" s="54"/>
      <c r="X75" s="53"/>
      <c r="Y75" s="53"/>
      <c r="Z75" s="51"/>
      <c r="AA75" s="48"/>
      <c r="AB75" s="51"/>
      <c r="AC75" s="51"/>
      <c r="AD75" s="51"/>
      <c r="AE75" s="50"/>
    </row>
    <row r="76" spans="1:31" x14ac:dyDescent="0.3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2"/>
      <c r="V76" s="53"/>
      <c r="W76" s="54"/>
      <c r="X76" s="53"/>
      <c r="Y76" s="53"/>
      <c r="Z76" s="51"/>
      <c r="AA76" s="48"/>
      <c r="AB76" s="51"/>
      <c r="AC76" s="51"/>
      <c r="AD76" s="51"/>
      <c r="AE76" s="50"/>
    </row>
    <row r="77" spans="1:31" x14ac:dyDescent="0.3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2"/>
      <c r="V77" s="53"/>
      <c r="W77" s="54"/>
      <c r="X77" s="53"/>
      <c r="Y77" s="53"/>
      <c r="Z77" s="51"/>
      <c r="AA77" s="48"/>
      <c r="AB77" s="51"/>
      <c r="AC77" s="51"/>
      <c r="AD77" s="51"/>
      <c r="AE77" s="50"/>
    </row>
    <row r="78" spans="1:31" x14ac:dyDescent="0.35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/>
      <c r="V78" s="53"/>
      <c r="W78" s="54"/>
      <c r="X78" s="53"/>
      <c r="Y78" s="53"/>
      <c r="Z78" s="51"/>
      <c r="AA78" s="48"/>
      <c r="AB78" s="51"/>
      <c r="AC78" s="51"/>
      <c r="AD78" s="51"/>
      <c r="AE78" s="50"/>
    </row>
    <row r="79" spans="1:31" x14ac:dyDescent="0.3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  <c r="V79" s="53"/>
      <c r="W79" s="54"/>
      <c r="X79" s="53"/>
      <c r="Y79" s="53"/>
      <c r="Z79" s="51"/>
      <c r="AA79" s="48"/>
      <c r="AB79" s="51"/>
      <c r="AC79" s="51"/>
      <c r="AD79" s="51"/>
      <c r="AE79" s="50"/>
    </row>
    <row r="80" spans="1:31" x14ac:dyDescent="0.35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  <c r="V80" s="53"/>
      <c r="W80" s="54"/>
      <c r="X80" s="53"/>
      <c r="Y80" s="53"/>
      <c r="Z80" s="51"/>
      <c r="AA80" s="48"/>
      <c r="AB80" s="51"/>
      <c r="AC80" s="51"/>
      <c r="AD80" s="51"/>
      <c r="AE80" s="50"/>
    </row>
  </sheetData>
  <autoFilter ref="B2:AE49">
    <sortState ref="B3:AE56">
      <sortCondition ref="AE2:AE49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4" sqref="G4"/>
    </sheetView>
  </sheetViews>
  <sheetFormatPr defaultRowHeight="14.5" x14ac:dyDescent="0.35"/>
  <cols>
    <col min="2" max="2" width="18.54296875" bestFit="1" customWidth="1"/>
    <col min="3" max="3" width="24.90625" bestFit="1" customWidth="1"/>
    <col min="4" max="4" width="38.453125" bestFit="1" customWidth="1"/>
    <col min="5" max="5" width="20.6328125" bestFit="1" customWidth="1"/>
    <col min="6" max="6" width="20.90625" customWidth="1"/>
    <col min="7" max="7" width="19.7265625" customWidth="1"/>
    <col min="8" max="8" width="28.90625" bestFit="1" customWidth="1"/>
    <col min="9" max="9" width="38.453125" bestFit="1" customWidth="1"/>
  </cols>
  <sheetData>
    <row r="1" spans="1:9" s="36" customFormat="1" ht="45" customHeight="1" thickBot="1" x14ac:dyDescent="0.4">
      <c r="A1" s="36" t="s">
        <v>181</v>
      </c>
      <c r="B1" s="34" t="s">
        <v>172</v>
      </c>
      <c r="C1" s="35" t="s">
        <v>173</v>
      </c>
      <c r="D1" s="35" t="s">
        <v>174</v>
      </c>
      <c r="E1" s="35" t="s">
        <v>175</v>
      </c>
      <c r="F1" s="35" t="s">
        <v>176</v>
      </c>
      <c r="G1" s="35" t="s">
        <v>177</v>
      </c>
      <c r="H1" s="35" t="s">
        <v>178</v>
      </c>
      <c r="I1" s="35" t="s">
        <v>179</v>
      </c>
    </row>
    <row r="2" spans="1:9" ht="15" thickBot="1" x14ac:dyDescent="0.4">
      <c r="A2">
        <v>2</v>
      </c>
      <c r="B2" s="26" t="s">
        <v>120</v>
      </c>
      <c r="C2" s="27">
        <v>54</v>
      </c>
      <c r="D2" s="27">
        <v>11</v>
      </c>
      <c r="E2" s="27">
        <v>8</v>
      </c>
      <c r="F2" s="27">
        <v>54</v>
      </c>
      <c r="G2" s="28">
        <f>E2/F2</f>
        <v>0.14814814814814814</v>
      </c>
      <c r="H2" s="29">
        <v>19476.125</v>
      </c>
      <c r="I2" s="29">
        <v>31115.25</v>
      </c>
    </row>
    <row r="3" spans="1:9" ht="15" thickBot="1" x14ac:dyDescent="0.4">
      <c r="A3">
        <v>3</v>
      </c>
      <c r="B3" s="26" t="s">
        <v>122</v>
      </c>
      <c r="C3" s="27">
        <v>39</v>
      </c>
      <c r="D3" s="27">
        <v>18</v>
      </c>
      <c r="E3" s="27">
        <v>11</v>
      </c>
      <c r="F3" s="27">
        <v>39</v>
      </c>
      <c r="G3" s="28">
        <f>E3/F3</f>
        <v>0.28205128205128205</v>
      </c>
      <c r="H3" s="29">
        <v>21883.4545454545</v>
      </c>
      <c r="I3" s="29">
        <v>101187.45454545454</v>
      </c>
    </row>
    <row r="4" spans="1:9" ht="15" thickBot="1" x14ac:dyDescent="0.4">
      <c r="A4">
        <v>4</v>
      </c>
      <c r="B4" s="26" t="s">
        <v>121</v>
      </c>
      <c r="C4" s="27">
        <v>11</v>
      </c>
      <c r="D4" s="27">
        <v>8</v>
      </c>
      <c r="E4" s="27">
        <v>7</v>
      </c>
      <c r="F4" s="27">
        <v>11</v>
      </c>
      <c r="G4" s="28">
        <f>E4/F4</f>
        <v>0.63636363636363635</v>
      </c>
      <c r="H4" s="29">
        <v>22509</v>
      </c>
      <c r="I4" s="29">
        <v>65815.857142857145</v>
      </c>
    </row>
    <row r="5" spans="1:9" ht="15" thickBot="1" x14ac:dyDescent="0.4">
      <c r="A5">
        <v>5</v>
      </c>
      <c r="B5" s="26" t="s">
        <v>123</v>
      </c>
      <c r="C5" s="27">
        <v>14</v>
      </c>
      <c r="D5" s="27">
        <v>10</v>
      </c>
      <c r="E5" s="27">
        <v>6</v>
      </c>
      <c r="F5" s="27">
        <v>14</v>
      </c>
      <c r="G5" s="28">
        <f>E5/F5</f>
        <v>0.42857142857142855</v>
      </c>
      <c r="H5" s="29">
        <v>16136</v>
      </c>
      <c r="I5" s="29">
        <v>235785.71428571429</v>
      </c>
    </row>
    <row r="6" spans="1:9" ht="15" thickBot="1" x14ac:dyDescent="0.4">
      <c r="B6" s="30" t="s">
        <v>180</v>
      </c>
      <c r="C6" s="31">
        <v>118</v>
      </c>
      <c r="D6" s="31">
        <v>47</v>
      </c>
      <c r="E6" s="31">
        <v>32</v>
      </c>
      <c r="F6" s="31">
        <v>118</v>
      </c>
      <c r="G6" s="28">
        <f>E6/F6</f>
        <v>0.2711864406779661</v>
      </c>
      <c r="H6" s="32">
        <v>20213.39393939394</v>
      </c>
      <c r="I6" s="32">
        <v>105248.33333333333</v>
      </c>
    </row>
    <row r="7" spans="1:9" x14ac:dyDescent="0.35">
      <c r="B7" s="33"/>
    </row>
    <row r="8" spans="1:9" x14ac:dyDescent="0.35">
      <c r="B8" s="33"/>
    </row>
    <row r="9" spans="1:9" x14ac:dyDescent="0.35">
      <c r="B9" s="110" t="s">
        <v>182</v>
      </c>
    </row>
    <row r="10" spans="1:9" x14ac:dyDescent="0.35">
      <c r="B10" s="110" t="s">
        <v>292</v>
      </c>
    </row>
    <row r="11" spans="1:9" x14ac:dyDescent="0.35">
      <c r="B11" s="110" t="s">
        <v>293</v>
      </c>
    </row>
    <row r="12" spans="1:9" x14ac:dyDescent="0.35">
      <c r="B12" s="33"/>
    </row>
    <row r="13" spans="1:9" x14ac:dyDescent="0.35">
      <c r="B13" s="33"/>
    </row>
    <row r="15" spans="1:9" x14ac:dyDescent="0.35">
      <c r="C15" t="s">
        <v>289</v>
      </c>
    </row>
    <row r="16" spans="1:9" x14ac:dyDescent="0.35">
      <c r="C16">
        <f>E6/C6</f>
        <v>0.2711864406779661</v>
      </c>
    </row>
    <row r="19" spans="2:4" x14ac:dyDescent="0.35">
      <c r="B19" s="13" t="s">
        <v>154</v>
      </c>
      <c r="C19" t="s">
        <v>168</v>
      </c>
      <c r="D19" t="s">
        <v>156</v>
      </c>
    </row>
    <row r="20" spans="2:4" x14ac:dyDescent="0.35">
      <c r="B20" s="14" t="s">
        <v>120</v>
      </c>
      <c r="C20" s="126">
        <v>32863.727272727272</v>
      </c>
      <c r="D20" s="126">
        <v>19460.636363636364</v>
      </c>
    </row>
    <row r="21" spans="2:4" x14ac:dyDescent="0.35">
      <c r="B21" s="14" t="s">
        <v>122</v>
      </c>
      <c r="C21" s="126">
        <v>98603.055555555562</v>
      </c>
      <c r="D21" s="126">
        <v>24473.055555555555</v>
      </c>
    </row>
    <row r="22" spans="2:4" x14ac:dyDescent="0.35">
      <c r="B22" s="14" t="s">
        <v>121</v>
      </c>
      <c r="C22" s="126">
        <v>62216.625</v>
      </c>
      <c r="D22" s="126">
        <v>21551.125</v>
      </c>
    </row>
    <row r="23" spans="2:4" x14ac:dyDescent="0.35">
      <c r="B23" s="14" t="s">
        <v>123</v>
      </c>
      <c r="C23" s="126">
        <v>224287.9</v>
      </c>
      <c r="D23" s="126">
        <v>23194.3</v>
      </c>
    </row>
    <row r="24" spans="2:4" x14ac:dyDescent="0.35">
      <c r="B24" s="14" t="s">
        <v>155</v>
      </c>
      <c r="C24" s="126">
        <v>103765.27659574468</v>
      </c>
      <c r="D24" s="126">
        <v>22530.510638297874</v>
      </c>
    </row>
  </sheetData>
  <sortState ref="A2:I5">
    <sortCondition ref="A2:A5"/>
  </sortState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opLeftCell="A16" workbookViewId="0">
      <selection activeCell="E34" sqref="E34"/>
    </sheetView>
  </sheetViews>
  <sheetFormatPr defaultRowHeight="14.5" x14ac:dyDescent="0.35"/>
  <cols>
    <col min="1" max="1" width="18.54296875" customWidth="1"/>
    <col min="2" max="2" width="11.81640625" bestFit="1" customWidth="1"/>
    <col min="3" max="3" width="15.08984375" bestFit="1" customWidth="1"/>
    <col min="4" max="4" width="24.90625" bestFit="1" customWidth="1"/>
    <col min="5" max="5" width="29.81640625" bestFit="1" customWidth="1"/>
    <col min="6" max="6" width="38.453125" bestFit="1" customWidth="1"/>
    <col min="7" max="7" width="20.7265625" bestFit="1" customWidth="1"/>
  </cols>
  <sheetData>
    <row r="3" spans="1:7" x14ac:dyDescent="0.35">
      <c r="A3" s="13" t="s">
        <v>154</v>
      </c>
      <c r="B3" t="s">
        <v>166</v>
      </c>
      <c r="C3" t="s">
        <v>167</v>
      </c>
      <c r="D3" t="s">
        <v>168</v>
      </c>
      <c r="E3" t="s">
        <v>169</v>
      </c>
      <c r="F3" t="s">
        <v>156</v>
      </c>
      <c r="G3" t="s">
        <v>171</v>
      </c>
    </row>
    <row r="4" spans="1:7" x14ac:dyDescent="0.35">
      <c r="A4" s="14" t="s">
        <v>164</v>
      </c>
      <c r="B4" s="15">
        <v>26</v>
      </c>
      <c r="C4" s="15">
        <v>19</v>
      </c>
      <c r="D4" s="21">
        <v>140425.76923076922</v>
      </c>
      <c r="E4" s="21">
        <v>935757.14975615242</v>
      </c>
      <c r="F4" s="23">
        <v>26144.038461538461</v>
      </c>
      <c r="G4" s="15">
        <v>1720.2917787256606</v>
      </c>
    </row>
    <row r="5" spans="1:7" x14ac:dyDescent="0.35">
      <c r="A5" s="14" t="s">
        <v>165</v>
      </c>
      <c r="B5" s="15">
        <v>5</v>
      </c>
      <c r="C5" s="15">
        <v>3</v>
      </c>
      <c r="D5" s="21">
        <v>97699.6</v>
      </c>
      <c r="E5" s="21">
        <v>954823.424</v>
      </c>
      <c r="F5" s="23">
        <v>17901.599999999999</v>
      </c>
      <c r="G5" s="15">
        <v>1609.3163636363638</v>
      </c>
    </row>
    <row r="6" spans="1:7" x14ac:dyDescent="0.35">
      <c r="A6" s="14" t="s">
        <v>161</v>
      </c>
      <c r="B6" s="15">
        <v>1</v>
      </c>
      <c r="C6" s="15"/>
      <c r="D6" s="21">
        <v>32393</v>
      </c>
      <c r="E6" s="21">
        <v>39832.702648874721</v>
      </c>
      <c r="F6" s="23">
        <v>25391</v>
      </c>
      <c r="G6" s="15">
        <v>528.97916666666663</v>
      </c>
    </row>
    <row r="7" spans="1:7" x14ac:dyDescent="0.35">
      <c r="A7" s="14" t="s">
        <v>162</v>
      </c>
      <c r="B7" s="15">
        <v>5</v>
      </c>
      <c r="C7" s="15">
        <v>4</v>
      </c>
      <c r="D7" s="21">
        <v>39742.800000000003</v>
      </c>
      <c r="E7" s="21">
        <v>109599.37515767112</v>
      </c>
      <c r="F7" s="23">
        <v>20963.2</v>
      </c>
      <c r="G7" s="15">
        <v>585.2958376332989</v>
      </c>
    </row>
    <row r="8" spans="1:7" x14ac:dyDescent="0.35">
      <c r="A8" s="14" t="s">
        <v>163</v>
      </c>
      <c r="B8" s="15">
        <v>10</v>
      </c>
      <c r="C8" s="15">
        <v>7</v>
      </c>
      <c r="D8" s="21">
        <v>50629.3</v>
      </c>
      <c r="E8" s="21">
        <v>92809.299276372534</v>
      </c>
      <c r="F8" s="23">
        <v>15947.4</v>
      </c>
      <c r="G8" s="15">
        <v>488.78175403225805</v>
      </c>
    </row>
    <row r="9" spans="1:7" x14ac:dyDescent="0.35">
      <c r="A9" s="14" t="s">
        <v>155</v>
      </c>
      <c r="B9" s="15">
        <v>47</v>
      </c>
      <c r="C9" s="15">
        <v>33</v>
      </c>
      <c r="D9" s="15">
        <v>103765.27659574468</v>
      </c>
      <c r="E9" s="21">
        <v>651483.52308214712</v>
      </c>
      <c r="F9" s="23">
        <v>22530.510638297874</v>
      </c>
      <c r="G9" s="15">
        <v>1300.3711480894626</v>
      </c>
    </row>
    <row r="17" spans="1:8" x14ac:dyDescent="0.35">
      <c r="A17" t="s">
        <v>187</v>
      </c>
      <c r="E17" t="s">
        <v>282</v>
      </c>
    </row>
    <row r="18" spans="1:8" x14ac:dyDescent="0.35">
      <c r="A18" t="s">
        <v>188</v>
      </c>
      <c r="B18" t="s">
        <v>276</v>
      </c>
      <c r="C18" t="s">
        <v>277</v>
      </c>
      <c r="D18" t="s">
        <v>278</v>
      </c>
      <c r="E18" t="s">
        <v>169</v>
      </c>
      <c r="F18" t="s">
        <v>279</v>
      </c>
      <c r="G18" t="s">
        <v>280</v>
      </c>
      <c r="H18" t="s">
        <v>281</v>
      </c>
    </row>
    <row r="19" spans="1:8" x14ac:dyDescent="0.35">
      <c r="A19" t="s">
        <v>161</v>
      </c>
      <c r="B19">
        <v>1</v>
      </c>
      <c r="C19">
        <v>1</v>
      </c>
      <c r="D19" s="124">
        <v>32393</v>
      </c>
      <c r="E19" s="25">
        <f>GETPIVOTDATA("Priemer z pôvodná hodnota v EUR",$A$3,"dekáda","70s")</f>
        <v>39832.702648874721</v>
      </c>
      <c r="F19" s="125">
        <v>25391</v>
      </c>
      <c r="G19" s="125">
        <v>528.97916666666663</v>
      </c>
      <c r="H19" s="22">
        <f>D19/E19</f>
        <v>0.81322626500000006</v>
      </c>
    </row>
    <row r="20" spans="1:8" x14ac:dyDescent="0.35">
      <c r="A20" t="s">
        <v>162</v>
      </c>
      <c r="B20">
        <v>5</v>
      </c>
      <c r="C20">
        <v>2</v>
      </c>
      <c r="D20" s="124">
        <v>39742.800000000003</v>
      </c>
      <c r="E20" s="25">
        <f>GETPIVOTDATA("Priemer z pôvodná hodnota v EUR",$A$3,"dekáda","80s")</f>
        <v>109599.37515767112</v>
      </c>
      <c r="F20" s="125">
        <v>20963.2</v>
      </c>
      <c r="G20" s="125">
        <v>585.2958376332989</v>
      </c>
      <c r="H20" s="22">
        <f t="shared" ref="H20:H23" si="0">D20/E20</f>
        <v>0.36261885565337831</v>
      </c>
    </row>
    <row r="21" spans="1:8" x14ac:dyDescent="0.35">
      <c r="A21" t="s">
        <v>163</v>
      </c>
      <c r="B21">
        <v>10</v>
      </c>
      <c r="C21">
        <v>9</v>
      </c>
      <c r="D21" s="124">
        <v>50629.3</v>
      </c>
      <c r="E21" s="25">
        <f>GETPIVOTDATA("Priemer z pôvodná hodnota v EUR",$A$3,"dekáda","90s")</f>
        <v>92809.299276372534</v>
      </c>
      <c r="F21" s="125">
        <v>15947.4</v>
      </c>
      <c r="G21" s="125">
        <v>488.78175403225805</v>
      </c>
      <c r="H21" s="22">
        <f t="shared" si="0"/>
        <v>0.54551968816436536</v>
      </c>
    </row>
    <row r="22" spans="1:8" x14ac:dyDescent="0.35">
      <c r="A22" t="s">
        <v>164</v>
      </c>
      <c r="B22">
        <v>26</v>
      </c>
      <c r="C22">
        <v>18</v>
      </c>
      <c r="D22" s="124">
        <v>140425.76923076922</v>
      </c>
      <c r="E22" s="25">
        <f>GETPIVOTDATA("Priemer z pôvodná hodnota v EUR",$A$3,"dekáda","00s")</f>
        <v>935757.14975615242</v>
      </c>
      <c r="F22" s="125">
        <v>26144.038461538461</v>
      </c>
      <c r="G22" s="125">
        <v>1720.2917787256602</v>
      </c>
      <c r="H22" s="22">
        <f t="shared" si="0"/>
        <v>0.1500664667829282</v>
      </c>
    </row>
    <row r="23" spans="1:8" x14ac:dyDescent="0.35">
      <c r="A23" t="s">
        <v>165</v>
      </c>
      <c r="B23">
        <v>5</v>
      </c>
      <c r="C23">
        <v>3</v>
      </c>
      <c r="D23" s="124">
        <v>97699.6</v>
      </c>
      <c r="E23" s="25">
        <f>GETPIVOTDATA("Priemer z pôvodná hodnota v EUR",$A$3,"dekáda","10s")</f>
        <v>954823.424</v>
      </c>
      <c r="F23" s="125">
        <v>17901.599999999999</v>
      </c>
      <c r="G23" s="125">
        <v>1609.3163636363638</v>
      </c>
      <c r="H23" s="22">
        <f t="shared" si="0"/>
        <v>0.10232216506661655</v>
      </c>
    </row>
    <row r="24" spans="1:8" x14ac:dyDescent="0.35">
      <c r="A24" t="s">
        <v>155</v>
      </c>
      <c r="B24">
        <v>47</v>
      </c>
      <c r="C24">
        <v>33</v>
      </c>
      <c r="D24" s="124">
        <v>103765.27659574468</v>
      </c>
      <c r="E24" s="25">
        <v>651483.52308214712</v>
      </c>
      <c r="F24" s="125">
        <v>22530.510638297874</v>
      </c>
      <c r="G24" s="125">
        <v>1300.3711480894624</v>
      </c>
    </row>
    <row r="27" spans="1:8" x14ac:dyDescent="0.35">
      <c r="A27" s="135" t="s">
        <v>291</v>
      </c>
      <c r="B27" s="135"/>
      <c r="C27" s="135"/>
      <c r="D27" s="135"/>
      <c r="E27" s="135"/>
      <c r="F27" s="135"/>
      <c r="G27" s="135"/>
    </row>
    <row r="28" spans="1:8" x14ac:dyDescent="0.35">
      <c r="A28" s="135"/>
      <c r="B28" s="135"/>
      <c r="C28" s="135"/>
      <c r="D28" s="135"/>
      <c r="E28" s="135"/>
      <c r="F28" s="135"/>
      <c r="G28" s="135"/>
    </row>
    <row r="29" spans="1:8" x14ac:dyDescent="0.35">
      <c r="A29" s="135"/>
      <c r="B29" s="135"/>
      <c r="C29" s="135"/>
      <c r="D29" s="135"/>
      <c r="E29" s="135"/>
      <c r="F29" s="135"/>
      <c r="G29" s="135"/>
    </row>
    <row r="30" spans="1:8" x14ac:dyDescent="0.35">
      <c r="A30" s="135"/>
      <c r="B30" s="135"/>
      <c r="C30" s="135"/>
      <c r="D30" s="135"/>
      <c r="E30" s="135"/>
      <c r="F30" s="135"/>
      <c r="G30" s="135"/>
    </row>
    <row r="31" spans="1:8" x14ac:dyDescent="0.35">
      <c r="A31" s="135"/>
      <c r="B31" s="135"/>
      <c r="C31" s="135"/>
      <c r="D31" s="135"/>
      <c r="E31" s="135"/>
      <c r="F31" s="135"/>
      <c r="G31" s="135"/>
    </row>
    <row r="32" spans="1:8" x14ac:dyDescent="0.35">
      <c r="A32" s="135"/>
      <c r="B32" s="135"/>
      <c r="C32" s="135"/>
      <c r="D32" s="135"/>
      <c r="E32" s="135"/>
      <c r="F32" s="135"/>
      <c r="G32" s="135"/>
    </row>
    <row r="33" spans="1:7" x14ac:dyDescent="0.35">
      <c r="A33" s="135"/>
      <c r="B33" s="135"/>
      <c r="C33" s="135"/>
      <c r="D33" s="135"/>
      <c r="E33" s="135"/>
      <c r="F33" s="135"/>
      <c r="G33" s="135"/>
    </row>
  </sheetData>
  <mergeCells count="1">
    <mergeCell ref="A27:G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3" sqref="H3:H10"/>
    </sheetView>
  </sheetViews>
  <sheetFormatPr defaultRowHeight="14.5" x14ac:dyDescent="0.35"/>
  <cols>
    <col min="1" max="1" width="18.54296875" customWidth="1"/>
    <col min="2" max="2" width="12.08984375" customWidth="1"/>
    <col min="3" max="3" width="38.453125" bestFit="1" customWidth="1"/>
    <col min="4" max="4" width="24.90625" bestFit="1" customWidth="1"/>
    <col min="5" max="5" width="16.453125" bestFit="1" customWidth="1"/>
  </cols>
  <sheetData>
    <row r="1" spans="1:8" x14ac:dyDescent="0.35">
      <c r="A1" s="13" t="s">
        <v>151</v>
      </c>
      <c r="B1" t="s">
        <v>290</v>
      </c>
    </row>
    <row r="3" spans="1:8" x14ac:dyDescent="0.35">
      <c r="A3" s="13" t="s">
        <v>154</v>
      </c>
      <c r="B3" t="s">
        <v>157</v>
      </c>
      <c r="C3" t="s">
        <v>156</v>
      </c>
      <c r="D3" t="s">
        <v>168</v>
      </c>
      <c r="H3">
        <v>1</v>
      </c>
    </row>
    <row r="4" spans="1:8" x14ac:dyDescent="0.35">
      <c r="A4" s="14" t="s">
        <v>164</v>
      </c>
      <c r="B4" s="15"/>
      <c r="C4" s="15"/>
      <c r="D4" s="21"/>
      <c r="H4">
        <v>1</v>
      </c>
    </row>
    <row r="5" spans="1:8" x14ac:dyDescent="0.35">
      <c r="A5" s="134">
        <v>2003</v>
      </c>
      <c r="B5" s="15">
        <v>1</v>
      </c>
      <c r="C5" s="15">
        <v>24595</v>
      </c>
      <c r="D5" s="21">
        <v>28238</v>
      </c>
      <c r="H5">
        <v>2</v>
      </c>
    </row>
    <row r="6" spans="1:8" x14ac:dyDescent="0.35">
      <c r="A6" s="134">
        <v>2004</v>
      </c>
      <c r="B6" s="15">
        <v>2</v>
      </c>
      <c r="C6" s="15">
        <v>13278.5</v>
      </c>
      <c r="D6" s="21">
        <v>200069</v>
      </c>
      <c r="H6">
        <v>1</v>
      </c>
    </row>
    <row r="7" spans="1:8" x14ac:dyDescent="0.35">
      <c r="A7" s="134">
        <v>2007</v>
      </c>
      <c r="B7" s="15">
        <v>10</v>
      </c>
      <c r="C7" s="15">
        <v>28727.1</v>
      </c>
      <c r="D7" s="21">
        <v>97762</v>
      </c>
      <c r="H7">
        <v>1</v>
      </c>
    </row>
    <row r="8" spans="1:8" x14ac:dyDescent="0.35">
      <c r="A8" s="134">
        <v>2008</v>
      </c>
      <c r="B8" s="15">
        <v>2</v>
      </c>
      <c r="C8" s="15">
        <v>24620.5</v>
      </c>
      <c r="D8" s="21">
        <v>112239.5</v>
      </c>
      <c r="H8">
        <v>8</v>
      </c>
    </row>
    <row r="9" spans="1:8" x14ac:dyDescent="0.35">
      <c r="A9" s="134">
        <v>2009</v>
      </c>
      <c r="B9" s="15">
        <v>11</v>
      </c>
      <c r="C9" s="15">
        <v>26552.81818181818</v>
      </c>
      <c r="D9" s="21">
        <v>183690.45454545456</v>
      </c>
      <c r="H9">
        <v>1</v>
      </c>
    </row>
    <row r="10" spans="1:8" x14ac:dyDescent="0.35">
      <c r="A10" s="14" t="s">
        <v>165</v>
      </c>
      <c r="B10" s="15"/>
      <c r="C10" s="15"/>
      <c r="D10" s="21"/>
      <c r="H10">
        <v>1</v>
      </c>
    </row>
    <row r="11" spans="1:8" x14ac:dyDescent="0.35">
      <c r="A11" s="134">
        <v>2009</v>
      </c>
      <c r="B11" s="15">
        <v>1</v>
      </c>
      <c r="C11" s="15">
        <v>9674</v>
      </c>
      <c r="D11" s="21">
        <v>197830</v>
      </c>
    </row>
    <row r="12" spans="1:8" x14ac:dyDescent="0.35">
      <c r="A12" s="134">
        <v>2012</v>
      </c>
      <c r="B12" s="15">
        <v>3</v>
      </c>
      <c r="C12" s="15">
        <v>23020</v>
      </c>
      <c r="D12" s="21">
        <v>91694</v>
      </c>
    </row>
    <row r="13" spans="1:8" x14ac:dyDescent="0.35">
      <c r="A13" s="134">
        <v>2013</v>
      </c>
      <c r="B13" s="15">
        <v>1</v>
      </c>
      <c r="C13" s="15">
        <v>10774</v>
      </c>
      <c r="D13" s="21">
        <v>15586</v>
      </c>
    </row>
    <row r="14" spans="1:8" x14ac:dyDescent="0.35">
      <c r="A14" s="14" t="s">
        <v>161</v>
      </c>
      <c r="B14" s="15"/>
      <c r="C14" s="15"/>
      <c r="D14" s="21"/>
    </row>
    <row r="15" spans="1:8" x14ac:dyDescent="0.35">
      <c r="A15" s="134">
        <v>1975</v>
      </c>
      <c r="B15" s="15">
        <v>1</v>
      </c>
      <c r="C15" s="15">
        <v>25391</v>
      </c>
      <c r="D15" s="21">
        <v>32393</v>
      </c>
    </row>
    <row r="16" spans="1:8" x14ac:dyDescent="0.35">
      <c r="A16" s="14" t="s">
        <v>162</v>
      </c>
      <c r="B16" s="15"/>
      <c r="C16" s="15"/>
      <c r="D16" s="21"/>
    </row>
    <row r="17" spans="1:4" x14ac:dyDescent="0.35">
      <c r="A17" s="134">
        <v>1985</v>
      </c>
      <c r="B17" s="15">
        <v>1</v>
      </c>
      <c r="C17" s="15">
        <v>27543</v>
      </c>
      <c r="D17" s="21">
        <v>38179</v>
      </c>
    </row>
    <row r="18" spans="1:4" x14ac:dyDescent="0.35">
      <c r="A18" s="134">
        <v>1987</v>
      </c>
      <c r="B18" s="15">
        <v>2</v>
      </c>
      <c r="C18" s="15">
        <v>18013</v>
      </c>
      <c r="D18" s="21">
        <v>36102</v>
      </c>
    </row>
    <row r="19" spans="1:4" x14ac:dyDescent="0.35">
      <c r="A19" s="134">
        <v>1988</v>
      </c>
      <c r="B19" s="15">
        <v>1</v>
      </c>
      <c r="C19" s="15">
        <v>14525</v>
      </c>
      <c r="D19" s="21">
        <v>59575</v>
      </c>
    </row>
    <row r="20" spans="1:4" x14ac:dyDescent="0.35">
      <c r="A20" s="134">
        <v>1989</v>
      </c>
      <c r="B20" s="15">
        <v>1</v>
      </c>
      <c r="C20" s="15">
        <v>26722</v>
      </c>
      <c r="D20" s="21">
        <v>28756</v>
      </c>
    </row>
    <row r="21" spans="1:4" x14ac:dyDescent="0.35">
      <c r="A21" s="14" t="s">
        <v>163</v>
      </c>
      <c r="B21" s="15"/>
      <c r="C21" s="15"/>
      <c r="D21" s="21"/>
    </row>
    <row r="22" spans="1:4" x14ac:dyDescent="0.35">
      <c r="A22" s="134">
        <v>1990</v>
      </c>
      <c r="B22" s="15">
        <v>8</v>
      </c>
      <c r="C22" s="15">
        <v>15217.125</v>
      </c>
      <c r="D22" s="21">
        <v>52306.75</v>
      </c>
    </row>
    <row r="23" spans="1:4" x14ac:dyDescent="0.35">
      <c r="A23" s="134">
        <v>1991</v>
      </c>
      <c r="B23" s="15">
        <v>1</v>
      </c>
      <c r="C23" s="15">
        <v>18357</v>
      </c>
      <c r="D23" s="21">
        <v>29336</v>
      </c>
    </row>
    <row r="24" spans="1:4" x14ac:dyDescent="0.35">
      <c r="A24" s="134">
        <v>1992</v>
      </c>
      <c r="B24" s="15">
        <v>1</v>
      </c>
      <c r="C24" s="15">
        <v>19380</v>
      </c>
      <c r="D24" s="21">
        <v>58503</v>
      </c>
    </row>
    <row r="25" spans="1:4" x14ac:dyDescent="0.35">
      <c r="A25" s="14" t="s">
        <v>155</v>
      </c>
      <c r="B25" s="15">
        <v>47</v>
      </c>
      <c r="C25" s="15">
        <v>22530.510638297874</v>
      </c>
      <c r="D25" s="21">
        <v>103765.27659574468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servisné náklady</vt:lpstr>
      <vt:lpstr>finančná analýza</vt:lpstr>
      <vt:lpstr>servis podľa veku</vt:lpstr>
      <vt:lpstr>servis podľa rokov</vt:lpstr>
      <vt:lpstr>Tabulka 7</vt:lpstr>
      <vt:lpstr>Tabulka 4 - bodovaci system</vt:lpstr>
      <vt:lpstr>Tabulka 3</vt:lpstr>
      <vt:lpstr>Tabulka 2</vt:lpstr>
      <vt:lpstr>pivot_draft</vt:lpstr>
      <vt:lpstr>data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Dubovský</dc:creator>
  <cp:lastModifiedBy>Oliver Tomečko</cp:lastModifiedBy>
  <cp:lastPrinted>2023-02-28T08:31:46Z</cp:lastPrinted>
  <dcterms:created xsi:type="dcterms:W3CDTF">2023-02-23T11:36:17Z</dcterms:created>
  <dcterms:modified xsi:type="dcterms:W3CDTF">2024-03-26T12:16:01Z</dcterms:modified>
</cp:coreProperties>
</file>